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10" activeTab="0"/>
  </bookViews>
  <sheets>
    <sheet name="Dokumentation" sheetId="1" r:id="rId1"/>
    <sheet name="Data" sheetId="2" r:id="rId2"/>
    <sheet name="produktivitet" sheetId="3" r:id="rId3"/>
    <sheet name="05_skema1-7" sheetId="4" r:id="rId4"/>
    <sheet name="05_dtd" sheetId="5" r:id="rId5"/>
    <sheet name="06_skema1-7" sheetId="6" r:id="rId6"/>
    <sheet name="06_dtd" sheetId="7" r:id="rId7"/>
    <sheet name="05_prod" sheetId="8" r:id="rId8"/>
    <sheet name="06_prod_udv" sheetId="9" r:id="rId9"/>
    <sheet name="06_prod_tvær" sheetId="10" r:id="rId10"/>
  </sheets>
  <definedNames>
    <definedName name="SGHBASELINE05_S0_A0" localSheetId="7">'05_prod'!$B$3:$B$174</definedName>
    <definedName name="SGHBASELINE05_S0_A0" localSheetId="9">'06_prod_tvær'!$B$3:$B$222</definedName>
    <definedName name="SGHBASELINE05_S0_A0" localSheetId="8">'06_prod_udv'!$B$3:$B$222</definedName>
    <definedName name="SGHBASELINE05_S0_A0" localSheetId="2">'produktivitet'!$B$3:$B$216</definedName>
    <definedName name="_xlnm.Print_Titles" localSheetId="4">'05_dtd'!$1:$3</definedName>
    <definedName name="_xlnm.Print_Titles" localSheetId="7">'05_prod'!$1:$3</definedName>
    <definedName name="_xlnm.Print_Titles" localSheetId="3">'05_skema1-7'!$1:$3</definedName>
    <definedName name="_xlnm.Print_Titles" localSheetId="6">'06_dtd'!$1:$3</definedName>
    <definedName name="_xlnm.Print_Titles" localSheetId="9">'06_prod_tvær'!$1:$3</definedName>
    <definedName name="_xlnm.Print_Titles" localSheetId="8">'06_prod_udv'!$1:$3</definedName>
    <definedName name="_xlnm.Print_Titles" localSheetId="5">'06_skema1-7'!$1:$3</definedName>
    <definedName name="_xlnm.Print_Titles" localSheetId="2">'produktivitet'!$1:$5</definedName>
  </definedNames>
  <calcPr fullCalcOnLoad="1"/>
</workbook>
</file>

<file path=xl/sharedStrings.xml><?xml version="1.0" encoding="utf-8"?>
<sst xmlns="http://schemas.openxmlformats.org/spreadsheetml/2006/main" count="617" uniqueCount="126">
  <si>
    <t xml:space="preserve">Sygehusenes nettodriftsudgifter for 2006, 1.000 kr. 2006 priser </t>
  </si>
  <si>
    <t>Sygehus</t>
  </si>
  <si>
    <t>Skema 1</t>
  </si>
  <si>
    <t>Skema 2</t>
  </si>
  <si>
    <t>Skema 3</t>
  </si>
  <si>
    <t>Skema 4</t>
  </si>
  <si>
    <t>Skema 5</t>
  </si>
  <si>
    <t>Skema 6</t>
  </si>
  <si>
    <t>Skema 7</t>
  </si>
  <si>
    <t>Rigshospitalet</t>
  </si>
  <si>
    <t>Bispebjerg hospital</t>
  </si>
  <si>
    <t>Hvidovre hospital</t>
  </si>
  <si>
    <t>Amager hospital (HS)</t>
  </si>
  <si>
    <t>Frederiksberg hospital</t>
  </si>
  <si>
    <t>Amager hospital (kbh)</t>
  </si>
  <si>
    <t>KAS Gentofte</t>
  </si>
  <si>
    <t>KAS Glostrup</t>
  </si>
  <si>
    <t>KAS Herlev</t>
  </si>
  <si>
    <t>Fre.borgs Amts sundhedsvæsen</t>
  </si>
  <si>
    <t>Amtssygehuset Roskilde</t>
  </si>
  <si>
    <t>Roskilde Amts Sygehus, Køge</t>
  </si>
  <si>
    <t>Sygehus Vestsjælland</t>
  </si>
  <si>
    <t>Storstrømmens Sygehus</t>
  </si>
  <si>
    <t>Bornholms centralsygehus</t>
  </si>
  <si>
    <t>Odense Universitetshospital</t>
  </si>
  <si>
    <t>Sygehus Fyn</t>
  </si>
  <si>
    <t>Sønderborg sygehus</t>
  </si>
  <si>
    <t>Haderslev sygehus</t>
  </si>
  <si>
    <t>Tønder sygehus</t>
  </si>
  <si>
    <t>Aabenraa sygehus</t>
  </si>
  <si>
    <t>Sydvestjysk Sygehus</t>
  </si>
  <si>
    <t>Brædstrup sygehus</t>
  </si>
  <si>
    <t>Give sygehus</t>
  </si>
  <si>
    <t>Horsens sygehus</t>
  </si>
  <si>
    <t>Kolding og Fredericia sygehuse</t>
  </si>
  <si>
    <t>Vejle sygehus</t>
  </si>
  <si>
    <t>Friklinikken i Brædstrup</t>
  </si>
  <si>
    <t>Holstebro centralsygehus</t>
  </si>
  <si>
    <t>Herning centralsygehus</t>
  </si>
  <si>
    <t>Tarm amtssygehus</t>
  </si>
  <si>
    <t>Ringkøbing sygehus</t>
  </si>
  <si>
    <t>Amtssygehuset i Lemvig</t>
  </si>
  <si>
    <t>Silkeborg centralsygehus</t>
  </si>
  <si>
    <t>Århus Sygehus</t>
  </si>
  <si>
    <t>Randers Centralsygehus</t>
  </si>
  <si>
    <t>Skejby sygehus</t>
  </si>
  <si>
    <t>Sygehus Viborg</t>
  </si>
  <si>
    <t>Sygehus Nord, Nykøbing-Thisted</t>
  </si>
  <si>
    <t>Aalborg sygehus</t>
  </si>
  <si>
    <t>Sygehus Vendsyssel</t>
  </si>
  <si>
    <t>Sygehus Himmerland</t>
  </si>
  <si>
    <t>Ortopædkirurgi Nordjylland</t>
  </si>
  <si>
    <t>Hele landet</t>
  </si>
  <si>
    <t xml:space="preserve">Korrigerede tilrettede driftudgifter for 2006, 1.000 kr. 2006 priser </t>
  </si>
  <si>
    <t>Totale driftsudgifter, ekskl. udgifter der ikke bidrager til somatisk patient-behandling</t>
  </si>
  <si>
    <t>Internt finansieret forskning
(-)</t>
  </si>
  <si>
    <t>De tilrettede driftsudgifter
(=)</t>
  </si>
  <si>
    <t>Medicin på ambulante afdelinger
(-)</t>
  </si>
  <si>
    <t>De korrigerede tilrettede driftudgifter
(=)</t>
  </si>
  <si>
    <t xml:space="preserve">Sygehusenes nettodriftsudgifter for 2005, 1.000 kr. 2006 priser </t>
  </si>
  <si>
    <t xml:space="preserve">Korrigerede tilrettede driftudgifter for 2005, 1.000 kr. 2006 priser </t>
  </si>
  <si>
    <t>Vederlagsfri laboratorie-ydelser til praksis-sketoren
(-)</t>
  </si>
  <si>
    <t>Korrigeret produktions-værdi</t>
  </si>
  <si>
    <t>Struktur-ændringer</t>
  </si>
  <si>
    <t>Ukorrigeret produkti-onsværdi</t>
  </si>
  <si>
    <t>Medicin på ambulante afdelinger</t>
  </si>
  <si>
    <t>Syge-hus-kode</t>
  </si>
  <si>
    <t>København, total</t>
  </si>
  <si>
    <t>Frederiksborg, total</t>
  </si>
  <si>
    <t>Roskilde, total</t>
  </si>
  <si>
    <t>Vestsjælland, total</t>
  </si>
  <si>
    <t>Storstrøm, total</t>
  </si>
  <si>
    <t>H:S</t>
  </si>
  <si>
    <t>Bornholm, total</t>
  </si>
  <si>
    <t>Fyn, total</t>
  </si>
  <si>
    <t>Sønderjylland, total</t>
  </si>
  <si>
    <t>Ribe, total</t>
  </si>
  <si>
    <t>Vejle, total</t>
  </si>
  <si>
    <t>Ringkøbing, total</t>
  </si>
  <si>
    <t>Århus, total</t>
  </si>
  <si>
    <t>Viborg, total</t>
  </si>
  <si>
    <t>Nordjylland, total</t>
  </si>
  <si>
    <t>Udvikling 2005-2006, pct.</t>
  </si>
  <si>
    <t>Udgifter</t>
  </si>
  <si>
    <t>Produk-tivitet</t>
  </si>
  <si>
    <t>De korrigerde tilrettede driftudgifter,
 mio kr.</t>
  </si>
  <si>
    <t>Korrigeret produktionsværdi, 2005-aktivitet, 1.000 kr., 2006-takstsystem</t>
  </si>
  <si>
    <t>Produktionsværdi, udgifter og produktivitet for amter og sygehuse, 2005-2006</t>
  </si>
  <si>
    <t>Kilde: Sundhedsstyrelsens skema 1-7, Dansk center for forskningsanalyse samt Lægemiddelstyrelsen.</t>
  </si>
  <si>
    <t>Kilde: Sundhedsstyrelsens skema 1-7 (foreløbige tal), Dansk center for forskningsanalyse samt Lægemiddelstyrelsen.</t>
  </si>
  <si>
    <t>De korrigerede tilrettede driftsudgifter</t>
  </si>
  <si>
    <t>Kilde: Sundhedsstyrelsens skema 1-7.</t>
  </si>
  <si>
    <t>Fordelings-nøgle til medicin udgifter</t>
  </si>
  <si>
    <t>0,37/0,89</t>
  </si>
  <si>
    <t>Udgifter til medicin på ambulante afdelinger er opgjort på baggrund af niveauet af Lægemiddelstyrelsens tal, jvt. dokumentationspapiret. Den benyttede fordelingsnøgle fremgår af arket '05_dtd'.</t>
  </si>
  <si>
    <t>Produk-tions-værdi</t>
  </si>
  <si>
    <t>Korrektion for organiserings-forskelle</t>
  </si>
  <si>
    <t>Anmærkninger til data</t>
  </si>
  <si>
    <t>se endvidere dokumentationspapiret</t>
  </si>
  <si>
    <t>Korrigeret produktionsværdi</t>
  </si>
  <si>
    <t>Udgifter til særydelser leveret til frit valgs patienter på basisniveau
(+)</t>
  </si>
  <si>
    <t>Benyttes til beregning af produktivitetsudviklingen fra 2005-2006</t>
  </si>
  <si>
    <t>Korrektion for nye koder til intensiv behandling</t>
  </si>
  <si>
    <t>Alle udgifter vedrørende 2005 er pris/lønregulerede med 3,3 pct.</t>
  </si>
  <si>
    <t>Kilde: DRG/DAGS-systemet pr. 28. august 2007, 2006-takster.</t>
  </si>
  <si>
    <r>
      <t xml:space="preserve">Alle størrelser er trukket i DRG/DAGS-systemet pr. 28. juni 2007 i 2006-takster, dkDRG06. Den benyttede version af DRG/DAGS-systemet bygger på </t>
    </r>
    <r>
      <rPr>
        <b/>
        <sz val="10"/>
        <rFont val="Arial"/>
        <family val="2"/>
      </rPr>
      <t>Landspatientregistret pr. 10. juli 2007.</t>
    </r>
  </si>
  <si>
    <t>Udgifter til internt finansieret forskning er for 2006 indberettet til Sundhedsstyrelsen af sygehusene i H:S, Københavns Amt, Frederiksborg Amt, Ribe Amt og Ringkjøbings Amt samt af Horsens sygehus, Sydvestjysk Sygehus, Vejle sygehus, Horsens Sygehus og Århus Sygehus. For de resterende sygehus er udgifterne opgjort ved P/L-regulering af Dansk center for forskningsanalyse tal, jvf. dokumentationspapiret</t>
  </si>
  <si>
    <t>Produk-tivitets-niveau</t>
  </si>
  <si>
    <t>Korrigeret produktions-værdi, mio kr.</t>
  </si>
  <si>
    <t>Benyttes til beregning af produktivitetsniveauet i 2006</t>
  </si>
  <si>
    <t>Korrektion for fys/ergo i Århus Amt</t>
  </si>
  <si>
    <t>Korrigeret produktionsværdi, 2006-aktivitet, 1.000 kr., 2006-takstsystem</t>
  </si>
  <si>
    <t>2006 til tvær-snit</t>
  </si>
  <si>
    <t>2006 til udvik-ling</t>
  </si>
  <si>
    <t>Forskel i registrerings-praksis på strålecentre</t>
  </si>
  <si>
    <t>Hovedstaden</t>
  </si>
  <si>
    <t>Sjælland</t>
  </si>
  <si>
    <t>Syddanmark</t>
  </si>
  <si>
    <t>Midtjylland</t>
  </si>
  <si>
    <t>Nordjylland</t>
  </si>
  <si>
    <t>Regioner</t>
  </si>
  <si>
    <t>Opgørelse af produktivitet 2006, samt udviklingen 2005-2006</t>
  </si>
  <si>
    <t xml:space="preserve">Disse regneark er bilag til:  </t>
  </si>
  <si>
    <t xml:space="preserve">Løbende offentliggørelse af produktivitet i sygehussektoren </t>
  </si>
  <si>
    <t>- Tredje delrapport</t>
  </si>
  <si>
    <t>December 2007</t>
  </si>
</sst>
</file>

<file path=xl/styles.xml><?xml version="1.0" encoding="utf-8"?>
<styleSheet xmlns="http://schemas.openxmlformats.org/spreadsheetml/2006/main">
  <numFmts count="5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"/>
    <numFmt numFmtId="187" formatCode="&quot;Ja&quot;;&quot;Ja&quot;;&quot;Nej&quot;"/>
    <numFmt numFmtId="188" formatCode="&quot;Sand&quot;;&quot;Sand&quot;;&quot;Falsk&quot;"/>
    <numFmt numFmtId="189" formatCode="&quot;Til&quot;;&quot;Til&quot;;&quot;Fra&quot;"/>
    <numFmt numFmtId="190" formatCode="[$€-2]\ #.##000_);[Red]\([$€-2]\ #.##000\)"/>
    <numFmt numFmtId="191" formatCode="#,##0.00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#,##0.000000000"/>
    <numFmt numFmtId="203" formatCode="_(* #,##0.000_);_(* \(#,##0.000\);_(* &quot;-&quot;??_);_(@_)"/>
    <numFmt numFmtId="204" formatCode="_(* #,##0.0000_);_(* \(#,##0.0000\);_(* &quot;-&quot;??_);_(@_)"/>
    <numFmt numFmtId="205" formatCode="_(* #,##0.00000_);_(* \(#,##0.00000\);_(* &quot;-&quot;??_);_(@_)"/>
    <numFmt numFmtId="206" formatCode="0.0000000"/>
    <numFmt numFmtId="207" formatCode="_(* #,##0_);_(* \(#,##0\);_(* &quot;-&quot;??_);_(@_)"/>
  </numFmts>
  <fonts count="4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color indexed="56"/>
      <name val="MS Sans Serif"/>
      <family val="2"/>
    </font>
    <font>
      <sz val="10"/>
      <color indexed="56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0"/>
      <color theme="3"/>
      <name val="MS Sans Serif"/>
      <family val="2"/>
    </font>
    <font>
      <sz val="10"/>
      <color theme="3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3" borderId="2" applyNumberFormat="0" applyAlignment="0" applyProtection="0"/>
    <xf numFmtId="0" fontId="36" fillId="24" borderId="3" applyNumberFormat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191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right" wrapText="1"/>
    </xf>
    <xf numFmtId="3" fontId="2" fillId="0" borderId="1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2" fillId="0" borderId="13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3" fontId="3" fillId="0" borderId="0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10" xfId="53" applyNumberFormat="1" applyFont="1" applyFill="1" applyBorder="1" quotePrefix="1">
      <alignment/>
      <protection/>
    </xf>
    <xf numFmtId="3" fontId="3" fillId="0" borderId="11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53" applyNumberFormat="1" applyFont="1" applyFill="1" quotePrefix="1">
      <alignment/>
      <protection/>
    </xf>
    <xf numFmtId="0" fontId="2" fillId="0" borderId="0" xfId="0" applyFont="1" applyFill="1" applyAlignment="1">
      <alignment/>
    </xf>
    <xf numFmtId="0" fontId="2" fillId="0" borderId="0" xfId="53" applyNumberFormat="1" applyFont="1" applyFill="1" quotePrefix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53" applyNumberFormat="1" applyFont="1" applyFill="1" applyBorder="1" quotePrefix="1">
      <alignment/>
      <protection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3" fontId="2" fillId="0" borderId="0" xfId="52" applyNumberFormat="1" applyFont="1" applyFill="1" quotePrefix="1">
      <alignment/>
      <protection/>
    </xf>
    <xf numFmtId="3" fontId="3" fillId="0" borderId="0" xfId="52" applyNumberFormat="1" applyFont="1" applyFill="1" quotePrefix="1">
      <alignment/>
      <protection/>
    </xf>
    <xf numFmtId="3" fontId="2" fillId="0" borderId="0" xfId="52" applyNumberFormat="1" applyFont="1" applyFill="1" applyBorder="1" quotePrefix="1">
      <alignment/>
      <protection/>
    </xf>
    <xf numFmtId="3" fontId="3" fillId="0" borderId="10" xfId="52" applyNumberFormat="1" applyFont="1" applyFill="1" applyBorder="1" quotePrefix="1">
      <alignment/>
      <protection/>
    </xf>
    <xf numFmtId="3" fontId="2" fillId="0" borderId="0" xfId="0" applyNumberFormat="1" applyFont="1" applyFill="1" applyBorder="1" applyAlignment="1" quotePrefix="1">
      <alignment/>
    </xf>
    <xf numFmtId="3" fontId="2" fillId="0" borderId="14" xfId="52" applyNumberFormat="1" applyFont="1" applyFill="1" applyBorder="1" quotePrefix="1">
      <alignment/>
      <protection/>
    </xf>
    <xf numFmtId="3" fontId="3" fillId="0" borderId="0" xfId="52" applyNumberFormat="1" applyFont="1" applyFill="1" applyBorder="1" quotePrefix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12" xfId="0" applyNumberFormat="1" applyFont="1" applyFill="1" applyBorder="1" applyAlignment="1" quotePrefix="1">
      <alignment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2" fillId="0" borderId="12" xfId="52" applyNumberFormat="1" applyFont="1" applyFill="1" applyBorder="1" quotePrefix="1">
      <alignment/>
      <protection/>
    </xf>
    <xf numFmtId="186" fontId="2" fillId="0" borderId="12" xfId="52" applyNumberFormat="1" applyFont="1" applyFill="1" applyBorder="1" quotePrefix="1">
      <alignment/>
      <protection/>
    </xf>
    <xf numFmtId="186" fontId="2" fillId="0" borderId="0" xfId="52" applyNumberFormat="1" applyFont="1" applyFill="1" quotePrefix="1">
      <alignment/>
      <protection/>
    </xf>
    <xf numFmtId="186" fontId="2" fillId="0" borderId="0" xfId="52" applyNumberFormat="1" applyFont="1" applyFill="1" applyBorder="1">
      <alignment/>
      <protection/>
    </xf>
    <xf numFmtId="2" fontId="2" fillId="0" borderId="12" xfId="52" applyNumberFormat="1" applyFont="1" applyFill="1" applyBorder="1">
      <alignment/>
      <protection/>
    </xf>
    <xf numFmtId="0" fontId="2" fillId="0" borderId="0" xfId="0" applyFont="1" applyFill="1" applyBorder="1" applyAlignment="1">
      <alignment horizontal="left"/>
    </xf>
    <xf numFmtId="186" fontId="2" fillId="0" borderId="15" xfId="52" applyNumberFormat="1" applyFont="1" applyFill="1" applyBorder="1">
      <alignment/>
      <protection/>
    </xf>
    <xf numFmtId="186" fontId="3" fillId="0" borderId="15" xfId="52" applyNumberFormat="1" applyFont="1" applyFill="1" applyBorder="1">
      <alignment/>
      <protection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/>
    </xf>
    <xf numFmtId="0" fontId="46" fillId="33" borderId="0" xfId="0" applyFont="1" applyFill="1" applyAlignment="1">
      <alignment horizontal="center"/>
    </xf>
    <xf numFmtId="0" fontId="46" fillId="33" borderId="0" xfId="0" applyFont="1" applyFill="1" applyAlignment="1" quotePrefix="1">
      <alignment horizontal="center"/>
    </xf>
    <xf numFmtId="0" fontId="47" fillId="33" borderId="0" xfId="0" applyFont="1" applyFill="1" applyAlignment="1">
      <alignment horizontal="center"/>
    </xf>
    <xf numFmtId="17" fontId="46" fillId="33" borderId="0" xfId="0" applyNumberFormat="1" applyFont="1" applyFill="1" applyAlignment="1" quotePrefix="1">
      <alignment horizontal="center"/>
    </xf>
    <xf numFmtId="0" fontId="3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2" fillId="0" borderId="0" xfId="52" applyFont="1" applyFill="1">
      <alignment/>
      <protection/>
    </xf>
    <xf numFmtId="0" fontId="4" fillId="0" borderId="0" xfId="52" applyFill="1">
      <alignment/>
      <protection/>
    </xf>
    <xf numFmtId="0" fontId="2" fillId="0" borderId="0" xfId="52" applyFont="1" applyFill="1" applyBorder="1">
      <alignment/>
      <protection/>
    </xf>
    <xf numFmtId="3" fontId="3" fillId="0" borderId="10" xfId="52" applyNumberFormat="1" applyFont="1" applyFill="1" applyBorder="1" applyAlignment="1">
      <alignment horizontal="left" wrapText="1"/>
      <protection/>
    </xf>
    <xf numFmtId="0" fontId="2" fillId="0" borderId="0" xfId="52" applyFont="1" applyFill="1" applyBorder="1" applyAlignment="1">
      <alignment horizontal="right"/>
      <protection/>
    </xf>
    <xf numFmtId="0" fontId="2" fillId="0" borderId="0" xfId="52" applyNumberFormat="1" applyFont="1" applyFill="1" quotePrefix="1">
      <alignment/>
      <protection/>
    </xf>
    <xf numFmtId="2" fontId="2" fillId="0" borderId="0" xfId="52" applyNumberFormat="1" applyFont="1" applyFill="1">
      <alignment/>
      <protection/>
    </xf>
    <xf numFmtId="186" fontId="2" fillId="0" borderId="0" xfId="52" applyNumberFormat="1" applyFont="1" applyFill="1">
      <alignment/>
      <protection/>
    </xf>
    <xf numFmtId="192" fontId="2" fillId="0" borderId="0" xfId="52" applyNumberFormat="1" applyFont="1" applyFill="1">
      <alignment/>
      <protection/>
    </xf>
    <xf numFmtId="0" fontId="3" fillId="0" borderId="0" xfId="0" applyFont="1" applyFill="1" applyAlignment="1">
      <alignment/>
    </xf>
    <xf numFmtId="0" fontId="3" fillId="0" borderId="0" xfId="52" applyNumberFormat="1" applyFont="1" applyFill="1" quotePrefix="1">
      <alignment/>
      <protection/>
    </xf>
    <xf numFmtId="3" fontId="3" fillId="0" borderId="12" xfId="52" applyNumberFormat="1" applyFont="1" applyFill="1" applyBorder="1" quotePrefix="1">
      <alignment/>
      <protection/>
    </xf>
    <xf numFmtId="186" fontId="3" fillId="0" borderId="12" xfId="52" applyNumberFormat="1" applyFont="1" applyFill="1" applyBorder="1" quotePrefix="1">
      <alignment/>
      <protection/>
    </xf>
    <xf numFmtId="186" fontId="3" fillId="0" borderId="0" xfId="52" applyNumberFormat="1" applyFont="1" applyFill="1" quotePrefix="1">
      <alignment/>
      <protection/>
    </xf>
    <xf numFmtId="2" fontId="3" fillId="0" borderId="0" xfId="52" applyNumberFormat="1" applyFont="1" applyFill="1">
      <alignment/>
      <protection/>
    </xf>
    <xf numFmtId="186" fontId="3" fillId="0" borderId="0" xfId="52" applyNumberFormat="1" applyFont="1" applyFill="1" applyBorder="1">
      <alignment/>
      <protection/>
    </xf>
    <xf numFmtId="2" fontId="3" fillId="0" borderId="12" xfId="52" applyNumberFormat="1" applyFont="1" applyFill="1" applyBorder="1">
      <alignment/>
      <protection/>
    </xf>
    <xf numFmtId="0" fontId="3" fillId="0" borderId="10" xfId="0" applyFont="1" applyFill="1" applyBorder="1" applyAlignment="1">
      <alignment/>
    </xf>
    <xf numFmtId="0" fontId="3" fillId="0" borderId="10" xfId="52" applyNumberFormat="1" applyFont="1" applyFill="1" applyBorder="1" quotePrefix="1">
      <alignment/>
      <protection/>
    </xf>
    <xf numFmtId="3" fontId="3" fillId="0" borderId="11" xfId="52" applyNumberFormat="1" applyFont="1" applyFill="1" applyBorder="1" quotePrefix="1">
      <alignment/>
      <protection/>
    </xf>
    <xf numFmtId="186" fontId="3" fillId="0" borderId="11" xfId="52" applyNumberFormat="1" applyFont="1" applyFill="1" applyBorder="1" quotePrefix="1">
      <alignment/>
      <protection/>
    </xf>
    <xf numFmtId="186" fontId="3" fillId="0" borderId="10" xfId="52" applyNumberFormat="1" applyFont="1" applyFill="1" applyBorder="1" quotePrefix="1">
      <alignment/>
      <protection/>
    </xf>
    <xf numFmtId="186" fontId="3" fillId="0" borderId="10" xfId="52" applyNumberFormat="1" applyFont="1" applyFill="1" applyBorder="1">
      <alignment/>
      <protection/>
    </xf>
    <xf numFmtId="2" fontId="3" fillId="0" borderId="11" xfId="52" applyNumberFormat="1" applyFont="1" applyFill="1" applyBorder="1">
      <alignment/>
      <protection/>
    </xf>
    <xf numFmtId="0" fontId="3" fillId="0" borderId="0" xfId="52" applyFont="1" applyFill="1" applyBorder="1">
      <alignment/>
      <protection/>
    </xf>
    <xf numFmtId="1" fontId="3" fillId="0" borderId="12" xfId="52" applyNumberFormat="1" applyFont="1" applyFill="1" applyBorder="1">
      <alignment/>
      <protection/>
    </xf>
    <xf numFmtId="0" fontId="3" fillId="0" borderId="10" xfId="52" applyFont="1" applyFill="1" applyBorder="1">
      <alignment/>
      <protection/>
    </xf>
    <xf numFmtId="0" fontId="2" fillId="0" borderId="10" xfId="52" applyFont="1" applyFill="1" applyBorder="1">
      <alignment/>
      <protection/>
    </xf>
    <xf numFmtId="3" fontId="2" fillId="0" borderId="10" xfId="52" applyNumberFormat="1" applyFont="1" applyFill="1" applyBorder="1" quotePrefix="1">
      <alignment/>
      <protection/>
    </xf>
    <xf numFmtId="0" fontId="4" fillId="0" borderId="10" xfId="52" applyFill="1" applyBorder="1">
      <alignment/>
      <protection/>
    </xf>
    <xf numFmtId="186" fontId="2" fillId="0" borderId="0" xfId="52" applyNumberFormat="1" applyFont="1" applyFill="1" applyBorder="1" quotePrefix="1">
      <alignment/>
      <protection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4" fontId="8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7" fillId="0" borderId="12" xfId="0" applyFont="1" applyFill="1" applyBorder="1" applyAlignment="1">
      <alignment/>
    </xf>
    <xf numFmtId="4" fontId="8" fillId="0" borderId="0" xfId="0" applyNumberFormat="1" applyFont="1" applyFill="1" applyAlignment="1">
      <alignment horizontal="right"/>
    </xf>
    <xf numFmtId="3" fontId="2" fillId="0" borderId="12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53" applyFont="1" applyFill="1">
      <alignment/>
      <protection/>
    </xf>
    <xf numFmtId="0" fontId="2" fillId="0" borderId="0" xfId="53" applyFont="1" applyFill="1">
      <alignment/>
      <protection/>
    </xf>
    <xf numFmtId="3" fontId="3" fillId="0" borderId="10" xfId="52" applyNumberFormat="1" applyFont="1" applyFill="1" applyBorder="1" applyAlignment="1">
      <alignment horizontal="right" wrapText="1"/>
      <protection/>
    </xf>
    <xf numFmtId="3" fontId="2" fillId="0" borderId="0" xfId="52" applyNumberFormat="1" applyFont="1" applyFill="1">
      <alignment/>
      <protection/>
    </xf>
    <xf numFmtId="3" fontId="2" fillId="0" borderId="0" xfId="0" applyNumberFormat="1" applyFont="1" applyFill="1" applyAlignment="1" quotePrefix="1">
      <alignment/>
    </xf>
    <xf numFmtId="0" fontId="2" fillId="0" borderId="0" xfId="52" applyNumberFormat="1" applyFont="1" applyFill="1" applyBorder="1" quotePrefix="1">
      <alignment/>
      <protection/>
    </xf>
    <xf numFmtId="0" fontId="3" fillId="0" borderId="0" xfId="52" applyFont="1" applyFill="1" applyAlignment="1">
      <alignment horizontal="left"/>
      <protection/>
    </xf>
    <xf numFmtId="0" fontId="2" fillId="0" borderId="0" xfId="52" applyFont="1" applyFill="1" applyAlignment="1">
      <alignment horizontal="left"/>
      <protection/>
    </xf>
    <xf numFmtId="0" fontId="4" fillId="0" borderId="0" xfId="52" applyFont="1" applyFill="1">
      <alignment/>
      <protection/>
    </xf>
    <xf numFmtId="3" fontId="2" fillId="0" borderId="0" xfId="53" applyNumberFormat="1" applyFont="1" applyFill="1" quotePrefix="1">
      <alignment/>
      <protection/>
    </xf>
    <xf numFmtId="3" fontId="3" fillId="0" borderId="0" xfId="53" applyNumberFormat="1" applyFont="1" applyFill="1" quotePrefix="1">
      <alignment/>
      <protection/>
    </xf>
    <xf numFmtId="3" fontId="2" fillId="0" borderId="0" xfId="53" applyNumberFormat="1" applyFont="1" applyFill="1" applyBorder="1" quotePrefix="1">
      <alignment/>
      <protection/>
    </xf>
    <xf numFmtId="3" fontId="3" fillId="0" borderId="10" xfId="53" applyNumberFormat="1" applyFont="1" applyFill="1" applyBorder="1" quotePrefix="1">
      <alignment/>
      <protection/>
    </xf>
    <xf numFmtId="197" fontId="2" fillId="0" borderId="0" xfId="52" applyNumberFormat="1" applyFont="1" applyFill="1" quotePrefix="1">
      <alignment/>
      <protection/>
    </xf>
    <xf numFmtId="1" fontId="3" fillId="0" borderId="12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3" fontId="3" fillId="0" borderId="0" xfId="52" applyNumberFormat="1" applyFont="1" applyFill="1" applyBorder="1" applyAlignment="1">
      <alignment horizontal="right" wrapText="1"/>
      <protection/>
    </xf>
    <xf numFmtId="0" fontId="0" fillId="0" borderId="10" xfId="0" applyFill="1" applyBorder="1" applyAlignment="1">
      <alignment/>
    </xf>
    <xf numFmtId="0" fontId="3" fillId="0" borderId="15" xfId="0" applyFont="1" applyFill="1" applyBorder="1" applyAlignment="1">
      <alignment horizontal="center" wrapText="1"/>
    </xf>
    <xf numFmtId="1" fontId="3" fillId="0" borderId="12" xfId="0" applyNumberFormat="1" applyFont="1" applyFill="1" applyBorder="1" applyAlignment="1">
      <alignment horizontal="center" wrapText="1"/>
    </xf>
    <xf numFmtId="1" fontId="3" fillId="0" borderId="11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</cellXfs>
  <cellStyles count="51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_pv05_23-05-07" xfId="52"/>
    <cellStyle name="Normal_pv06_23-05-07" xfId="53"/>
    <cellStyle name="Output" xfId="54"/>
    <cellStyle name="Overskrift 1" xfId="55"/>
    <cellStyle name="Overskrift 2" xfId="56"/>
    <cellStyle name="Overskrift 3" xfId="57"/>
    <cellStyle name="Overskrift 4" xfId="58"/>
    <cellStyle name="Percent" xfId="59"/>
    <cellStyle name="Sammenkædet celle" xfId="60"/>
    <cellStyle name="Titel" xfId="61"/>
    <cellStyle name="Total" xfId="62"/>
    <cellStyle name="Ugyldig" xfId="63"/>
    <cellStyle name="Currenc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8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9.140625" style="60" customWidth="1"/>
    <col min="2" max="2" width="62.00390625" style="60" bestFit="1" customWidth="1"/>
    <col min="3" max="16384" width="9.140625" style="60" customWidth="1"/>
  </cols>
  <sheetData>
    <row r="3" ht="12.75">
      <c r="B3" s="61" t="s">
        <v>122</v>
      </c>
    </row>
    <row r="5" ht="12.75">
      <c r="B5" s="62" t="s">
        <v>123</v>
      </c>
    </row>
    <row r="6" ht="12.75">
      <c r="B6" s="63" t="s">
        <v>124</v>
      </c>
    </row>
    <row r="7" ht="12.75">
      <c r="B7" s="64"/>
    </row>
    <row r="8" ht="12.75">
      <c r="B8" s="65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2"/>
  <sheetViews>
    <sheetView zoomScalePageLayoutView="0" workbookViewId="0" topLeftCell="A1">
      <selection activeCell="I17" sqref="I17"/>
    </sheetView>
  </sheetViews>
  <sheetFormatPr defaultColWidth="8.8515625" defaultRowHeight="12.75"/>
  <cols>
    <col min="1" max="1" width="22.28125" style="68" customWidth="1"/>
    <col min="2" max="2" width="4.421875" style="68" customWidth="1"/>
    <col min="3" max="7" width="12.28125" style="34" customWidth="1"/>
    <col min="8" max="16384" width="8.8515625" style="68" customWidth="1"/>
  </cols>
  <sheetData>
    <row r="1" spans="1:7" s="66" customFormat="1" ht="12.75" customHeight="1">
      <c r="A1" s="120" t="s">
        <v>111</v>
      </c>
      <c r="C1" s="35"/>
      <c r="D1" s="35"/>
      <c r="E1" s="35"/>
      <c r="F1" s="35"/>
      <c r="G1" s="35"/>
    </row>
    <row r="2" ht="12.75" customHeight="1">
      <c r="A2" s="121" t="s">
        <v>109</v>
      </c>
    </row>
    <row r="3" spans="1:7" ht="72" customHeight="1">
      <c r="A3" s="71" t="s">
        <v>1</v>
      </c>
      <c r="B3" s="122" t="s">
        <v>66</v>
      </c>
      <c r="C3" s="122" t="s">
        <v>64</v>
      </c>
      <c r="D3" s="122" t="s">
        <v>65</v>
      </c>
      <c r="E3" s="122" t="s">
        <v>96</v>
      </c>
      <c r="F3" s="122" t="s">
        <v>114</v>
      </c>
      <c r="G3" s="122" t="s">
        <v>62</v>
      </c>
    </row>
    <row r="4" spans="1:7" ht="12" customHeight="1">
      <c r="A4" s="27" t="s">
        <v>9</v>
      </c>
      <c r="B4" s="73">
        <v>1301</v>
      </c>
      <c r="C4" s="129">
        <f>'06_prod_udv'!C4</f>
        <v>4174388.7290029074</v>
      </c>
      <c r="D4" s="34">
        <f>'06_prod_udv'!E4</f>
        <v>244729.53900245577</v>
      </c>
      <c r="E4" s="34">
        <v>-36886.38286021538</v>
      </c>
      <c r="F4" s="50">
        <v>-144353.06961938427</v>
      </c>
      <c r="G4" s="34">
        <f>C4-D4-E4-F4</f>
        <v>4110898.642480051</v>
      </c>
    </row>
    <row r="5" spans="1:7" ht="12" customHeight="1">
      <c r="A5" s="27" t="s">
        <v>10</v>
      </c>
      <c r="B5" s="73">
        <v>1309</v>
      </c>
      <c r="C5" s="129">
        <f>'06_prod_udv'!C5</f>
        <v>1194561.9660007062</v>
      </c>
      <c r="D5" s="34">
        <f>'06_prod_udv'!E5</f>
        <v>32356.907000007108</v>
      </c>
      <c r="E5" s="34">
        <v>25555.32118478045</v>
      </c>
      <c r="F5" s="123">
        <v>0</v>
      </c>
      <c r="G5" s="34">
        <f aca="true" t="shared" si="0" ref="G5:G62">C5-D5-E5-F5</f>
        <v>1136649.7378159186</v>
      </c>
    </row>
    <row r="6" spans="1:7" ht="12" customHeight="1">
      <c r="A6" s="27" t="s">
        <v>11</v>
      </c>
      <c r="B6" s="73">
        <v>1330</v>
      </c>
      <c r="C6" s="129">
        <f>'06_prod_udv'!C6</f>
        <v>1469597.6260009762</v>
      </c>
      <c r="D6" s="34">
        <f>'06_prod_udv'!E6</f>
        <v>29951.86299987696</v>
      </c>
      <c r="E6" s="34">
        <v>4383.209317035857</v>
      </c>
      <c r="F6" s="123">
        <v>0</v>
      </c>
      <c r="G6" s="34">
        <f t="shared" si="0"/>
        <v>1435262.5536840633</v>
      </c>
    </row>
    <row r="7" spans="1:7" ht="12" customHeight="1">
      <c r="A7" s="27" t="s">
        <v>12</v>
      </c>
      <c r="B7" s="73">
        <v>1351</v>
      </c>
      <c r="C7" s="129">
        <f>'06_prod_udv'!C7</f>
        <v>375550.8292890026</v>
      </c>
      <c r="D7" s="34">
        <f>'06_prod_udv'!E7</f>
        <v>0</v>
      </c>
      <c r="E7" s="34">
        <f>3901.1188937641*0.641</f>
        <v>2500.617210902788</v>
      </c>
      <c r="F7" s="123">
        <v>0</v>
      </c>
      <c r="G7" s="34">
        <f t="shared" si="0"/>
        <v>373050.2120780998</v>
      </c>
    </row>
    <row r="8" spans="1:7" ht="12" customHeight="1">
      <c r="A8" s="27" t="s">
        <v>13</v>
      </c>
      <c r="B8" s="73">
        <v>1401</v>
      </c>
      <c r="C8" s="129">
        <f>'06_prod_udv'!C8</f>
        <v>716899.6330002461</v>
      </c>
      <c r="D8" s="34">
        <f>'06_prod_udv'!E8</f>
        <v>398.91199999977835</v>
      </c>
      <c r="E8" s="34">
        <v>11405.151631260058</v>
      </c>
      <c r="F8" s="123">
        <v>0</v>
      </c>
      <c r="G8" s="34">
        <f t="shared" si="0"/>
        <v>705095.5693689863</v>
      </c>
    </row>
    <row r="9" spans="1:7" s="66" customFormat="1" ht="12" customHeight="1">
      <c r="A9" s="29" t="s">
        <v>72</v>
      </c>
      <c r="B9" s="78"/>
      <c r="C9" s="130">
        <f>SUM(C4:C8)</f>
        <v>7930998.783293839</v>
      </c>
      <c r="D9" s="35">
        <f>SUM(D4:D8)</f>
        <v>307437.2210023396</v>
      </c>
      <c r="E9" s="35">
        <f>SUM(E4:E8)</f>
        <v>6957.916483763771</v>
      </c>
      <c r="F9" s="40">
        <f>SUM(F4:F8)</f>
        <v>-144353.06961938427</v>
      </c>
      <c r="G9" s="34">
        <f t="shared" si="0"/>
        <v>7760956.71542712</v>
      </c>
    </row>
    <row r="10" spans="1:7" ht="12" customHeight="1">
      <c r="A10" s="27" t="s">
        <v>14</v>
      </c>
      <c r="B10" s="73">
        <v>1351</v>
      </c>
      <c r="C10" s="129">
        <f>'06_prod_udv'!C10</f>
        <v>210331.89971100143</v>
      </c>
      <c r="D10" s="34">
        <f>'06_prod_udv'!E10</f>
        <v>0</v>
      </c>
      <c r="E10" s="34">
        <f>3901.1188937641*0.359</f>
        <v>1400.5016828613118</v>
      </c>
      <c r="F10" s="123">
        <v>0</v>
      </c>
      <c r="G10" s="34">
        <f t="shared" si="0"/>
        <v>208931.39802814013</v>
      </c>
    </row>
    <row r="11" spans="1:7" ht="12" customHeight="1">
      <c r="A11" s="27" t="s">
        <v>15</v>
      </c>
      <c r="B11" s="73">
        <v>1501</v>
      </c>
      <c r="C11" s="129">
        <f>'06_prod_udv'!C11</f>
        <v>1689883.4700007273</v>
      </c>
      <c r="D11" s="34">
        <f>'06_prod_udv'!E11</f>
        <v>9567.851999999257</v>
      </c>
      <c r="E11" s="34">
        <v>-14444.896357354242</v>
      </c>
      <c r="F11" s="123">
        <v>0</v>
      </c>
      <c r="G11" s="34">
        <f t="shared" si="0"/>
        <v>1694760.5143580823</v>
      </c>
    </row>
    <row r="12" spans="1:7" ht="12" customHeight="1">
      <c r="A12" s="27" t="s">
        <v>16</v>
      </c>
      <c r="B12" s="73">
        <v>1502</v>
      </c>
      <c r="C12" s="129">
        <f>'06_prod_udv'!C12</f>
        <v>1257994.3920004414</v>
      </c>
      <c r="D12" s="34">
        <f>'06_prod_udv'!E12</f>
        <v>6408.259000003338</v>
      </c>
      <c r="E12" s="34">
        <v>611.9112923415378</v>
      </c>
      <c r="F12" s="123">
        <v>0</v>
      </c>
      <c r="G12" s="34">
        <f t="shared" si="0"/>
        <v>1250974.2217080966</v>
      </c>
    </row>
    <row r="13" spans="1:7" ht="12" customHeight="1">
      <c r="A13" s="27" t="s">
        <v>17</v>
      </c>
      <c r="B13" s="73">
        <v>1516</v>
      </c>
      <c r="C13" s="129">
        <f>'06_prod_udv'!C13</f>
        <v>1868707.7780007203</v>
      </c>
      <c r="D13" s="34">
        <f>'06_prod_udv'!E13</f>
        <v>141800.5969997712</v>
      </c>
      <c r="E13" s="34">
        <v>-4788.662440717919</v>
      </c>
      <c r="F13" s="50">
        <v>-98228.08035075758</v>
      </c>
      <c r="G13" s="34">
        <f t="shared" si="0"/>
        <v>1829923.9237924246</v>
      </c>
    </row>
    <row r="14" spans="1:7" s="66" customFormat="1" ht="12" customHeight="1">
      <c r="A14" s="29" t="s">
        <v>67</v>
      </c>
      <c r="B14" s="78"/>
      <c r="C14" s="130">
        <f>SUM(C10:C13)</f>
        <v>5026917.539712891</v>
      </c>
      <c r="D14" s="35">
        <f>SUM(D10:D13)</f>
        <v>157776.7079997738</v>
      </c>
      <c r="E14" s="35">
        <f>SUM(E10:E13)</f>
        <v>-17221.14582286931</v>
      </c>
      <c r="F14" s="40">
        <f>SUM(F10:F13)</f>
        <v>-98228.08035075758</v>
      </c>
      <c r="G14" s="34">
        <f t="shared" si="0"/>
        <v>4984590.057886745</v>
      </c>
    </row>
    <row r="15" spans="1:7" ht="12" customHeight="1">
      <c r="A15" s="7" t="s">
        <v>18</v>
      </c>
      <c r="B15" s="73">
        <v>2000</v>
      </c>
      <c r="C15" s="129">
        <f>'06_prod_udv'!C15</f>
        <v>2275746.847000878</v>
      </c>
      <c r="D15" s="34">
        <f>'06_prod_udv'!E15</f>
        <v>61840.97499983292</v>
      </c>
      <c r="E15" s="34">
        <v>-43651.01955105644</v>
      </c>
      <c r="F15" s="123">
        <v>0</v>
      </c>
      <c r="G15" s="34">
        <f t="shared" si="0"/>
        <v>2257556.8915521014</v>
      </c>
    </row>
    <row r="16" spans="1:7" s="66" customFormat="1" ht="12" customHeight="1">
      <c r="A16" s="15" t="s">
        <v>68</v>
      </c>
      <c r="B16" s="78"/>
      <c r="C16" s="130">
        <f>SUM(C15)</f>
        <v>2275746.847000878</v>
      </c>
      <c r="D16" s="35">
        <f>SUM(D15)</f>
        <v>61840.97499983292</v>
      </c>
      <c r="E16" s="35">
        <f>SUM(E15)</f>
        <v>-43651.01955105644</v>
      </c>
      <c r="F16" s="40">
        <f>SUM(F15)</f>
        <v>0</v>
      </c>
      <c r="G16" s="34">
        <f t="shared" si="0"/>
        <v>2257556.8915521014</v>
      </c>
    </row>
    <row r="17" spans="1:7" ht="12" customHeight="1">
      <c r="A17" s="27" t="s">
        <v>19</v>
      </c>
      <c r="B17" s="73">
        <v>2501</v>
      </c>
      <c r="C17" s="129">
        <f>'06_prod_udv'!C17</f>
        <v>1119634.3580006587</v>
      </c>
      <c r="D17" s="34">
        <f>'06_prod_udv'!E17</f>
        <v>51598.46700002882</v>
      </c>
      <c r="E17" s="34">
        <v>-4322.513492551516</v>
      </c>
      <c r="F17" s="123">
        <v>0</v>
      </c>
      <c r="G17" s="34">
        <f t="shared" si="0"/>
        <v>1072358.4044931815</v>
      </c>
    </row>
    <row r="18" spans="1:7" ht="12" customHeight="1">
      <c r="A18" s="27" t="s">
        <v>20</v>
      </c>
      <c r="B18" s="73">
        <v>2502</v>
      </c>
      <c r="C18" s="129">
        <f>'06_prod_udv'!C18</f>
        <v>725268.1020003385</v>
      </c>
      <c r="D18" s="34">
        <f>'06_prod_udv'!E18</f>
        <v>1023.0020000012591</v>
      </c>
      <c r="E18" s="34">
        <v>-872.8513288517715</v>
      </c>
      <c r="F18" s="123">
        <v>0</v>
      </c>
      <c r="G18" s="34">
        <f t="shared" si="0"/>
        <v>725117.951329189</v>
      </c>
    </row>
    <row r="19" spans="1:7" s="66" customFormat="1" ht="12" customHeight="1">
      <c r="A19" s="29" t="s">
        <v>69</v>
      </c>
      <c r="B19" s="78"/>
      <c r="C19" s="130">
        <f>SUM(C17:C18)</f>
        <v>1844902.4600009972</v>
      </c>
      <c r="D19" s="35">
        <f>SUM(D17:D18)</f>
        <v>52621.469000030076</v>
      </c>
      <c r="E19" s="35">
        <f>SUM(E17:E18)</f>
        <v>-5195.364821403287</v>
      </c>
      <c r="F19" s="40">
        <f>SUM(F17:F18)</f>
        <v>0</v>
      </c>
      <c r="G19" s="34">
        <f t="shared" si="0"/>
        <v>1797476.3558223704</v>
      </c>
    </row>
    <row r="20" spans="1:7" ht="12" customHeight="1">
      <c r="A20" s="27" t="s">
        <v>21</v>
      </c>
      <c r="B20" s="73">
        <v>3000</v>
      </c>
      <c r="C20" s="129">
        <f>'06_prod_udv'!C20</f>
        <v>1848506.6880006436</v>
      </c>
      <c r="D20" s="34">
        <f>'06_prod_udv'!E20</f>
        <v>3679.761999981245</v>
      </c>
      <c r="E20" s="34">
        <v>-35639.50895491219</v>
      </c>
      <c r="F20" s="123">
        <v>0</v>
      </c>
      <c r="G20" s="34">
        <f t="shared" si="0"/>
        <v>1880466.4349555746</v>
      </c>
    </row>
    <row r="21" spans="1:7" s="66" customFormat="1" ht="12" customHeight="1">
      <c r="A21" s="29" t="s">
        <v>70</v>
      </c>
      <c r="B21" s="78"/>
      <c r="C21" s="130">
        <f>SUM(C20)</f>
        <v>1848506.6880006436</v>
      </c>
      <c r="D21" s="35">
        <f>SUM(D20)</f>
        <v>3679.761999981245</v>
      </c>
      <c r="E21" s="35">
        <f>SUM(E20)</f>
        <v>-35639.50895491219</v>
      </c>
      <c r="F21" s="40">
        <f>SUM(F20)</f>
        <v>0</v>
      </c>
      <c r="G21" s="34">
        <f t="shared" si="0"/>
        <v>1880466.4349555746</v>
      </c>
    </row>
    <row r="22" spans="1:7" ht="12" customHeight="1">
      <c r="A22" s="27" t="s">
        <v>22</v>
      </c>
      <c r="B22" s="73">
        <v>3500</v>
      </c>
      <c r="C22" s="129">
        <f>'06_prod_udv'!C22</f>
        <v>1830801.6860006398</v>
      </c>
      <c r="D22" s="34">
        <f>'06_prod_udv'!E22</f>
        <v>84107.91999991052</v>
      </c>
      <c r="E22" s="34">
        <v>-34352.21411956684</v>
      </c>
      <c r="F22" s="123">
        <v>0</v>
      </c>
      <c r="G22" s="34">
        <f t="shared" si="0"/>
        <v>1781045.9801202961</v>
      </c>
    </row>
    <row r="23" spans="1:7" s="66" customFormat="1" ht="12" customHeight="1">
      <c r="A23" s="29" t="s">
        <v>71</v>
      </c>
      <c r="B23" s="78"/>
      <c r="C23" s="130">
        <f>SUM(C22)</f>
        <v>1830801.6860006398</v>
      </c>
      <c r="D23" s="35">
        <f>SUM(D22)</f>
        <v>84107.91999991052</v>
      </c>
      <c r="E23" s="35">
        <f>SUM(E22)</f>
        <v>-34352.21411956684</v>
      </c>
      <c r="F23" s="40">
        <f>SUM(F22)</f>
        <v>0</v>
      </c>
      <c r="G23" s="34">
        <f t="shared" si="0"/>
        <v>1781045.9801202961</v>
      </c>
    </row>
    <row r="24" spans="1:7" ht="12" customHeight="1">
      <c r="A24" s="27" t="s">
        <v>23</v>
      </c>
      <c r="B24" s="73">
        <v>4001</v>
      </c>
      <c r="C24" s="129">
        <f>'06_prod_udv'!C24</f>
        <v>258006.37799999028</v>
      </c>
      <c r="D24" s="34">
        <f>'06_prod_udv'!E24</f>
        <v>5870.1160000001255</v>
      </c>
      <c r="E24" s="34">
        <v>-4456.595745430037</v>
      </c>
      <c r="F24" s="123">
        <v>0</v>
      </c>
      <c r="G24" s="34">
        <f t="shared" si="0"/>
        <v>256592.8577454202</v>
      </c>
    </row>
    <row r="25" spans="1:7" s="66" customFormat="1" ht="12" customHeight="1">
      <c r="A25" s="29" t="s">
        <v>73</v>
      </c>
      <c r="B25" s="78"/>
      <c r="C25" s="130">
        <f>SUM(C24)</f>
        <v>258006.37799999028</v>
      </c>
      <c r="D25" s="35">
        <f>SUM(D24)</f>
        <v>5870.1160000001255</v>
      </c>
      <c r="E25" s="35">
        <f>SUM(E24)</f>
        <v>-4456.595745430037</v>
      </c>
      <c r="F25" s="40">
        <f>SUM(F24)</f>
        <v>0</v>
      </c>
      <c r="G25" s="34">
        <f t="shared" si="0"/>
        <v>256592.8577454202</v>
      </c>
    </row>
    <row r="26" spans="1:7" ht="12" customHeight="1">
      <c r="A26" s="27" t="s">
        <v>24</v>
      </c>
      <c r="B26" s="73">
        <v>4202</v>
      </c>
      <c r="C26" s="129">
        <f>'06_prod_udv'!C26</f>
        <v>3622757.261003781</v>
      </c>
      <c r="D26" s="34">
        <f>'06_prod_udv'!E26</f>
        <v>76619.54000073578</v>
      </c>
      <c r="E26" s="34">
        <v>-45603.760781814344</v>
      </c>
      <c r="F26" s="50">
        <v>42423.51341796617</v>
      </c>
      <c r="G26" s="34">
        <f t="shared" si="0"/>
        <v>3549317.9683668935</v>
      </c>
    </row>
    <row r="27" spans="1:7" ht="12" customHeight="1">
      <c r="A27" s="27" t="s">
        <v>25</v>
      </c>
      <c r="B27" s="73">
        <v>4212</v>
      </c>
      <c r="C27" s="129">
        <f>'06_prod_udv'!C27</f>
        <v>1016229.8180003215</v>
      </c>
      <c r="D27" s="34">
        <f>'06_prod_udv'!E27</f>
        <v>6.6049999999813735</v>
      </c>
      <c r="E27" s="34">
        <v>13972.710333871422</v>
      </c>
      <c r="F27" s="123">
        <v>0</v>
      </c>
      <c r="G27" s="34">
        <f t="shared" si="0"/>
        <v>1002250.5026664501</v>
      </c>
    </row>
    <row r="28" spans="1:7" s="66" customFormat="1" ht="12" customHeight="1">
      <c r="A28" s="29" t="s">
        <v>74</v>
      </c>
      <c r="B28" s="78"/>
      <c r="C28" s="130">
        <f>SUM(C26:C27)</f>
        <v>4638987.079004102</v>
      </c>
      <c r="D28" s="35">
        <f>SUM(D26:D27)</f>
        <v>76626.14500073576</v>
      </c>
      <c r="E28" s="35">
        <f>SUM(E26:E27)</f>
        <v>-31631.050447942922</v>
      </c>
      <c r="F28" s="40">
        <f>SUM(F26:F27)</f>
        <v>42423.51341796617</v>
      </c>
      <c r="G28" s="34">
        <f t="shared" si="0"/>
        <v>4551568.471033343</v>
      </c>
    </row>
    <row r="29" spans="1:7" ht="12" customHeight="1">
      <c r="A29" s="27" t="s">
        <v>26</v>
      </c>
      <c r="B29" s="73">
        <v>5001</v>
      </c>
      <c r="C29" s="129">
        <f>'06_prod_udv'!C29</f>
        <v>744486.5130001954</v>
      </c>
      <c r="D29" s="34">
        <f>'06_prod_udv'!E29</f>
        <v>27032.20099999616</v>
      </c>
      <c r="E29" s="34">
        <v>687.4726998333936</v>
      </c>
      <c r="F29" s="123">
        <v>0</v>
      </c>
      <c r="G29" s="34">
        <f t="shared" si="0"/>
        <v>716766.8393003659</v>
      </c>
    </row>
    <row r="30" spans="1:7" ht="12" customHeight="1">
      <c r="A30" s="27" t="s">
        <v>27</v>
      </c>
      <c r="B30" s="73">
        <v>5002</v>
      </c>
      <c r="C30" s="129">
        <f>'06_prod_udv'!C30</f>
        <v>327803.2979999975</v>
      </c>
      <c r="D30" s="34">
        <f>'06_prod_udv'!E30</f>
        <v>14413.31900000514</v>
      </c>
      <c r="E30" s="34">
        <v>3938.3944367986114</v>
      </c>
      <c r="F30" s="123">
        <v>0</v>
      </c>
      <c r="G30" s="34">
        <f t="shared" si="0"/>
        <v>309451.5845631937</v>
      </c>
    </row>
    <row r="31" spans="1:7" ht="12" customHeight="1">
      <c r="A31" s="27" t="s">
        <v>28</v>
      </c>
      <c r="B31" s="73">
        <v>5003</v>
      </c>
      <c r="C31" s="129">
        <f>'06_prod_udv'!C31</f>
        <v>58120.77700000077</v>
      </c>
      <c r="D31" s="34">
        <f>'06_prod_udv'!E31</f>
        <v>0</v>
      </c>
      <c r="E31" s="34">
        <v>3084.0321299190146</v>
      </c>
      <c r="F31" s="123">
        <v>0</v>
      </c>
      <c r="G31" s="34">
        <f t="shared" si="0"/>
        <v>55036.74487008176</v>
      </c>
    </row>
    <row r="32" spans="1:7" ht="12" customHeight="1">
      <c r="A32" s="27" t="s">
        <v>29</v>
      </c>
      <c r="B32" s="73">
        <v>5004</v>
      </c>
      <c r="C32" s="129">
        <f>'06_prod_udv'!C32</f>
        <v>406513.2689999644</v>
      </c>
      <c r="D32" s="34">
        <f>'06_prod_udv'!E32</f>
        <v>0</v>
      </c>
      <c r="E32" s="34">
        <v>9868.018831121735</v>
      </c>
      <c r="F32" s="123">
        <v>0</v>
      </c>
      <c r="G32" s="34">
        <f t="shared" si="0"/>
        <v>396645.2501688427</v>
      </c>
    </row>
    <row r="33" spans="1:7" s="66" customFormat="1" ht="12" customHeight="1">
      <c r="A33" s="29" t="s">
        <v>75</v>
      </c>
      <c r="B33" s="78"/>
      <c r="C33" s="130">
        <f>SUM(C29:C32)</f>
        <v>1536923.8570001582</v>
      </c>
      <c r="D33" s="35">
        <f>SUM(D29:D32)</f>
        <v>41445.5200000013</v>
      </c>
      <c r="E33" s="35">
        <f>SUM(E29:E32)</f>
        <v>17577.918097672755</v>
      </c>
      <c r="F33" s="40">
        <f>SUM(F29:F32)</f>
        <v>0</v>
      </c>
      <c r="G33" s="34">
        <f t="shared" si="0"/>
        <v>1477900.418902484</v>
      </c>
    </row>
    <row r="34" spans="1:7" ht="12" customHeight="1">
      <c r="A34" s="27" t="s">
        <v>30</v>
      </c>
      <c r="B34" s="73">
        <v>5501</v>
      </c>
      <c r="C34" s="129">
        <f>'06_prod_udv'!C34</f>
        <v>1504860.2460004936</v>
      </c>
      <c r="D34" s="34">
        <f>'06_prod_udv'!E34</f>
        <v>29718.589999995893</v>
      </c>
      <c r="E34" s="34">
        <v>-27129.530475733336</v>
      </c>
      <c r="F34" s="123">
        <v>0</v>
      </c>
      <c r="G34" s="34">
        <f t="shared" si="0"/>
        <v>1502271.186476231</v>
      </c>
    </row>
    <row r="35" spans="1:7" s="66" customFormat="1" ht="12" customHeight="1">
      <c r="A35" s="29" t="s">
        <v>76</v>
      </c>
      <c r="B35" s="78"/>
      <c r="C35" s="130">
        <f>SUM(C34)</f>
        <v>1504860.2460004936</v>
      </c>
      <c r="D35" s="35">
        <f>SUM(D34)</f>
        <v>29718.589999995893</v>
      </c>
      <c r="E35" s="35">
        <f>SUM(E34)</f>
        <v>-27129.530475733336</v>
      </c>
      <c r="F35" s="40">
        <f>SUM(F34)</f>
        <v>0</v>
      </c>
      <c r="G35" s="34">
        <f t="shared" si="0"/>
        <v>1502271.186476231</v>
      </c>
    </row>
    <row r="36" spans="1:7" ht="12" customHeight="1">
      <c r="A36" s="27" t="s">
        <v>31</v>
      </c>
      <c r="B36" s="73">
        <v>6002</v>
      </c>
      <c r="C36" s="129">
        <f>'06_prod_udv'!C36</f>
        <v>106055.15099999675</v>
      </c>
      <c r="D36" s="34">
        <f>'06_prod_udv'!E36</f>
        <v>0</v>
      </c>
      <c r="E36" s="34">
        <v>6097.85719079298</v>
      </c>
      <c r="F36" s="123">
        <v>0</v>
      </c>
      <c r="G36" s="34">
        <f t="shared" si="0"/>
        <v>99957.29380920378</v>
      </c>
    </row>
    <row r="37" spans="1:7" ht="12" customHeight="1">
      <c r="A37" s="27" t="s">
        <v>32</v>
      </c>
      <c r="B37" s="73">
        <v>6004</v>
      </c>
      <c r="C37" s="129">
        <f>'06_prod_udv'!C37</f>
        <v>111525.2699999939</v>
      </c>
      <c r="D37" s="34">
        <f>'06_prod_udv'!E37</f>
        <v>0</v>
      </c>
      <c r="E37" s="34">
        <v>3688.746961384626</v>
      </c>
      <c r="F37" s="123">
        <v>0</v>
      </c>
      <c r="G37" s="34">
        <f t="shared" si="0"/>
        <v>107836.52303860927</v>
      </c>
    </row>
    <row r="38" spans="1:7" ht="12" customHeight="1">
      <c r="A38" s="27" t="s">
        <v>33</v>
      </c>
      <c r="B38" s="73">
        <v>6006</v>
      </c>
      <c r="C38" s="129">
        <f>'06_prod_udv'!C38</f>
        <v>576397.605000214</v>
      </c>
      <c r="D38" s="34">
        <f>'06_prod_udv'!E38</f>
        <v>660.3310000008205</v>
      </c>
      <c r="E38" s="34">
        <v>7864.592063668359</v>
      </c>
      <c r="F38" s="123">
        <v>0</v>
      </c>
      <c r="G38" s="34">
        <f t="shared" si="0"/>
        <v>567872.6819365448</v>
      </c>
    </row>
    <row r="39" spans="1:7" ht="12" customHeight="1">
      <c r="A39" s="27" t="s">
        <v>34</v>
      </c>
      <c r="B39" s="73">
        <v>6007</v>
      </c>
      <c r="C39" s="129">
        <f>'06_prod_udv'!C39</f>
        <v>1050685.5740003984</v>
      </c>
      <c r="D39" s="34">
        <f>'06_prod_udv'!E39</f>
        <v>2317.0039999994915</v>
      </c>
      <c r="E39" s="34">
        <v>977.5507175014354</v>
      </c>
      <c r="F39" s="123">
        <v>0</v>
      </c>
      <c r="G39" s="34">
        <f t="shared" si="0"/>
        <v>1047391.0192828975</v>
      </c>
    </row>
    <row r="40" spans="1:7" ht="12" customHeight="1">
      <c r="A40" s="27" t="s">
        <v>35</v>
      </c>
      <c r="B40" s="73">
        <v>6008</v>
      </c>
      <c r="C40" s="129">
        <f>'06_prod_udv'!C40</f>
        <v>1185405.8530001503</v>
      </c>
      <c r="D40" s="34">
        <f>'06_prod_udv'!E40</f>
        <v>117597.38799966406</v>
      </c>
      <c r="E40" s="34">
        <v>7288.163038781087</v>
      </c>
      <c r="F40" s="50">
        <v>54537.56024575894</v>
      </c>
      <c r="G40" s="34">
        <f t="shared" si="0"/>
        <v>1005982.7417159461</v>
      </c>
    </row>
    <row r="41" spans="1:7" ht="12" customHeight="1">
      <c r="A41" s="27" t="s">
        <v>36</v>
      </c>
      <c r="B41" s="73">
        <v>6014</v>
      </c>
      <c r="C41" s="129">
        <f>'06_prod_udv'!C41</f>
        <v>66409.528999993</v>
      </c>
      <c r="D41" s="34">
        <f>'06_prod_udv'!E41</f>
        <v>0</v>
      </c>
      <c r="E41" s="34">
        <v>-122.7700294986148</v>
      </c>
      <c r="F41" s="123">
        <v>0</v>
      </c>
      <c r="G41" s="34">
        <f t="shared" si="0"/>
        <v>66532.29902949161</v>
      </c>
    </row>
    <row r="42" spans="1:7" s="66" customFormat="1" ht="12" customHeight="1">
      <c r="A42" s="29" t="s">
        <v>77</v>
      </c>
      <c r="B42" s="78"/>
      <c r="C42" s="130">
        <f>SUM(C36:C41)</f>
        <v>3096478.9820007463</v>
      </c>
      <c r="D42" s="35">
        <f>SUM(D36:D41)</f>
        <v>120574.72299966437</v>
      </c>
      <c r="E42" s="35">
        <f>SUM(E36:E41)</f>
        <v>25794.139942629874</v>
      </c>
      <c r="F42" s="40">
        <f>SUM(F36:F41)</f>
        <v>54537.56024575894</v>
      </c>
      <c r="G42" s="34">
        <f t="shared" si="0"/>
        <v>2895572.558812693</v>
      </c>
    </row>
    <row r="43" spans="1:7" ht="12" customHeight="1">
      <c r="A43" s="27" t="s">
        <v>37</v>
      </c>
      <c r="B43" s="73">
        <v>6501</v>
      </c>
      <c r="C43" s="129">
        <f>'06_prod_udv'!C43</f>
        <v>790626.5410001819</v>
      </c>
      <c r="D43" s="34">
        <f>'06_prod_udv'!E43</f>
        <v>13384.17600000475</v>
      </c>
      <c r="E43" s="34">
        <v>3183.889731740812</v>
      </c>
      <c r="F43" s="123">
        <v>0</v>
      </c>
      <c r="G43" s="34">
        <f t="shared" si="0"/>
        <v>774058.4752684364</v>
      </c>
    </row>
    <row r="44" spans="1:7" ht="12" customHeight="1">
      <c r="A44" s="27" t="s">
        <v>38</v>
      </c>
      <c r="B44" s="73">
        <v>6502</v>
      </c>
      <c r="C44" s="129">
        <f>'06_prod_udv'!C44</f>
        <v>732398.1420001653</v>
      </c>
      <c r="D44" s="34">
        <f>'06_prod_udv'!E44</f>
        <v>27180.020000032848</v>
      </c>
      <c r="E44" s="34">
        <v>3784.4060094302404</v>
      </c>
      <c r="F44" s="123">
        <v>0</v>
      </c>
      <c r="G44" s="34">
        <f t="shared" si="0"/>
        <v>701433.7159907022</v>
      </c>
    </row>
    <row r="45" spans="1:7" ht="12" customHeight="1">
      <c r="A45" s="27" t="s">
        <v>39</v>
      </c>
      <c r="B45" s="73">
        <v>6503</v>
      </c>
      <c r="C45" s="129">
        <f>'06_prod_udv'!C45</f>
        <v>21052.97500000097</v>
      </c>
      <c r="D45" s="34">
        <f>'06_prod_udv'!E45</f>
        <v>0</v>
      </c>
      <c r="E45" s="34">
        <v>2643.9367078882424</v>
      </c>
      <c r="F45" s="123">
        <v>0</v>
      </c>
      <c r="G45" s="34">
        <f t="shared" si="0"/>
        <v>18409.038292112728</v>
      </c>
    </row>
    <row r="46" spans="1:7" ht="12" customHeight="1">
      <c r="A46" s="27" t="s">
        <v>40</v>
      </c>
      <c r="B46" s="73">
        <v>6504</v>
      </c>
      <c r="C46" s="129">
        <f>'06_prod_udv'!C46</f>
        <v>99392.26699999941</v>
      </c>
      <c r="D46" s="34">
        <f>'06_prod_udv'!E46</f>
        <v>0</v>
      </c>
      <c r="E46" s="34">
        <v>5426.680493523054</v>
      </c>
      <c r="F46" s="123">
        <v>0</v>
      </c>
      <c r="G46" s="34">
        <f t="shared" si="0"/>
        <v>93965.58650647636</v>
      </c>
    </row>
    <row r="47" spans="1:7" ht="12" customHeight="1">
      <c r="A47" s="27" t="s">
        <v>41</v>
      </c>
      <c r="B47" s="73">
        <v>6505</v>
      </c>
      <c r="C47" s="129">
        <f>'06_prod_udv'!C47</f>
        <v>28559.273000000125</v>
      </c>
      <c r="D47" s="34">
        <f>'06_prod_udv'!E47</f>
        <v>0</v>
      </c>
      <c r="E47" s="34">
        <v>3695.4374179353727</v>
      </c>
      <c r="F47" s="123">
        <v>0</v>
      </c>
      <c r="G47" s="34">
        <f t="shared" si="0"/>
        <v>24863.835582064752</v>
      </c>
    </row>
    <row r="48" spans="1:7" s="66" customFormat="1" ht="12" customHeight="1">
      <c r="A48" s="29" t="s">
        <v>78</v>
      </c>
      <c r="B48" s="78"/>
      <c r="C48" s="130">
        <f>SUM(C43:C47)</f>
        <v>1672029.1980003477</v>
      </c>
      <c r="D48" s="35">
        <f>SUM(D43:D47)</f>
        <v>40564.1960000376</v>
      </c>
      <c r="E48" s="35">
        <f>SUM(E43:E47)</f>
        <v>18734.35036051772</v>
      </c>
      <c r="F48" s="40">
        <f>SUM(F43:F47)</f>
        <v>0</v>
      </c>
      <c r="G48" s="34">
        <f t="shared" si="0"/>
        <v>1612730.6516397924</v>
      </c>
    </row>
    <row r="49" spans="1:7" ht="12" customHeight="1">
      <c r="A49" s="27" t="s">
        <v>42</v>
      </c>
      <c r="B49" s="73">
        <v>7002</v>
      </c>
      <c r="C49" s="129">
        <f>'06_prod_udv'!C49</f>
        <v>613490.7580001599</v>
      </c>
      <c r="D49" s="34">
        <f>'06_prod_udv'!E49</f>
        <v>2063.154000003473</v>
      </c>
      <c r="E49" s="34">
        <v>10567.997429878858</v>
      </c>
      <c r="F49" s="123">
        <v>0</v>
      </c>
      <c r="G49" s="34">
        <f t="shared" si="0"/>
        <v>600859.6065702776</v>
      </c>
    </row>
    <row r="50" spans="1:7" ht="12" customHeight="1">
      <c r="A50" s="27" t="s">
        <v>43</v>
      </c>
      <c r="B50" s="73">
        <v>7003</v>
      </c>
      <c r="C50" s="129">
        <f>'06_prod_udv'!C50</f>
        <v>3048912.0140023106</v>
      </c>
      <c r="D50" s="34">
        <f>'06_prod_udv'!E50</f>
        <v>150335.72700206842</v>
      </c>
      <c r="E50" s="34">
        <v>70113.48989386833</v>
      </c>
      <c r="F50" s="50">
        <v>72595.5028314121</v>
      </c>
      <c r="G50" s="34">
        <f t="shared" si="0"/>
        <v>2755867.294274962</v>
      </c>
    </row>
    <row r="51" spans="1:7" ht="12" customHeight="1">
      <c r="A51" s="27" t="s">
        <v>44</v>
      </c>
      <c r="B51" s="73">
        <v>7005</v>
      </c>
      <c r="C51" s="129">
        <f>'06_prod_udv'!C51</f>
        <v>985815.1810003626</v>
      </c>
      <c r="D51" s="34">
        <f>'06_prod_udv'!E51</f>
        <v>3.646999999997206</v>
      </c>
      <c r="E51" s="34">
        <v>30508.159790647565</v>
      </c>
      <c r="F51" s="123">
        <v>0</v>
      </c>
      <c r="G51" s="34">
        <f t="shared" si="0"/>
        <v>955303.374209715</v>
      </c>
    </row>
    <row r="52" spans="1:7" ht="12" customHeight="1">
      <c r="A52" s="27" t="s">
        <v>45</v>
      </c>
      <c r="B52" s="73">
        <v>7026</v>
      </c>
      <c r="C52" s="129">
        <f>'06_prod_udv'!C52</f>
        <v>1565099.6290004875</v>
      </c>
      <c r="D52" s="34">
        <f>'06_prod_udv'!E52</f>
        <v>10548.272999961162</v>
      </c>
      <c r="E52" s="34">
        <v>9131.569657895248</v>
      </c>
      <c r="F52" s="123">
        <v>0</v>
      </c>
      <c r="G52" s="34">
        <f t="shared" si="0"/>
        <v>1545419.786342631</v>
      </c>
    </row>
    <row r="53" spans="1:7" s="66" customFormat="1" ht="12" customHeight="1">
      <c r="A53" s="29" t="s">
        <v>79</v>
      </c>
      <c r="B53" s="78"/>
      <c r="C53" s="130">
        <f>SUM(C49:C52)</f>
        <v>6213317.582003321</v>
      </c>
      <c r="D53" s="35">
        <f>SUM(D49:D52)</f>
        <v>162950.80100203305</v>
      </c>
      <c r="E53" s="35">
        <f>SUM(E49:E52)</f>
        <v>120321.21677229</v>
      </c>
      <c r="F53" s="40">
        <f>SUM(F49:F52)</f>
        <v>72595.5028314121</v>
      </c>
      <c r="G53" s="34">
        <f t="shared" si="0"/>
        <v>5857450.061397585</v>
      </c>
    </row>
    <row r="54" spans="1:7" ht="12" customHeight="1">
      <c r="A54" s="27" t="s">
        <v>46</v>
      </c>
      <c r="B54" s="73">
        <v>7601</v>
      </c>
      <c r="C54" s="129">
        <f>'06_prod_udv'!C54</f>
        <v>1353963.7150003356</v>
      </c>
      <c r="D54" s="34">
        <f>'06_prod_udv'!E54</f>
        <v>48106.65899999882</v>
      </c>
      <c r="E54" s="34">
        <v>-22265.552152408985</v>
      </c>
      <c r="F54" s="123">
        <v>0</v>
      </c>
      <c r="G54" s="34">
        <f t="shared" si="0"/>
        <v>1328122.6081527458</v>
      </c>
    </row>
    <row r="55" spans="1:7" ht="12" customHeight="1">
      <c r="A55" s="27" t="s">
        <v>47</v>
      </c>
      <c r="B55" s="73">
        <v>7603</v>
      </c>
      <c r="C55" s="129">
        <f>'06_prod_udv'!C55</f>
        <v>329421.9429999925</v>
      </c>
      <c r="D55" s="34">
        <f>'06_prod_udv'!E55</f>
        <v>0</v>
      </c>
      <c r="E55" s="34">
        <v>337.55802621977637</v>
      </c>
      <c r="F55" s="123">
        <v>0</v>
      </c>
      <c r="G55" s="34">
        <f t="shared" si="0"/>
        <v>329084.38497377274</v>
      </c>
    </row>
    <row r="56" spans="1:7" s="66" customFormat="1" ht="12" customHeight="1">
      <c r="A56" s="29" t="s">
        <v>80</v>
      </c>
      <c r="B56" s="78"/>
      <c r="C56" s="130">
        <f>SUM(C54:C55)</f>
        <v>1683385.658000328</v>
      </c>
      <c r="D56" s="35">
        <f>SUM(D54:D55)</f>
        <v>48106.65899999882</v>
      </c>
      <c r="E56" s="35">
        <f>SUM(E54:E55)</f>
        <v>-21927.99412618921</v>
      </c>
      <c r="F56" s="40">
        <f>SUM(F54:F55)</f>
        <v>0</v>
      </c>
      <c r="G56" s="34">
        <f t="shared" si="0"/>
        <v>1657206.9931265186</v>
      </c>
    </row>
    <row r="57" spans="1:7" ht="12" customHeight="1">
      <c r="A57" s="27" t="s">
        <v>48</v>
      </c>
      <c r="B57" s="73">
        <v>8001</v>
      </c>
      <c r="C57" s="129">
        <f>'06_prod_udv'!C57</f>
        <v>2415021.718999445</v>
      </c>
      <c r="D57" s="34">
        <f>'06_prod_udv'!E57</f>
        <v>68841.44399971329</v>
      </c>
      <c r="E57" s="34">
        <v>-2048.4246686298866</v>
      </c>
      <c r="F57" s="50">
        <v>73024.57347500457</v>
      </c>
      <c r="G57" s="34">
        <f t="shared" si="0"/>
        <v>2275204.126193357</v>
      </c>
    </row>
    <row r="58" spans="1:7" ht="12" customHeight="1">
      <c r="A58" s="27" t="s">
        <v>49</v>
      </c>
      <c r="B58" s="73">
        <v>8003</v>
      </c>
      <c r="C58" s="129">
        <f>'06_prod_udv'!C58</f>
        <v>716072.4140000322</v>
      </c>
      <c r="D58" s="34">
        <f>'06_prod_udv'!E58</f>
        <v>11918.71299999964</v>
      </c>
      <c r="E58" s="34">
        <v>16995.554242510232</v>
      </c>
      <c r="F58" s="123">
        <v>0</v>
      </c>
      <c r="G58" s="34">
        <f t="shared" si="0"/>
        <v>687158.1467575224</v>
      </c>
    </row>
    <row r="59" spans="1:7" ht="12" customHeight="1">
      <c r="A59" s="30" t="s">
        <v>50</v>
      </c>
      <c r="B59" s="73">
        <v>8005</v>
      </c>
      <c r="C59" s="129">
        <f>'06_prod_udv'!C59</f>
        <v>176224.2330000025</v>
      </c>
      <c r="D59" s="34">
        <f>'06_prod_udv'!E59</f>
        <v>98.41400000001886</v>
      </c>
      <c r="E59" s="34">
        <v>13375.722285833064</v>
      </c>
      <c r="F59" s="123">
        <v>0</v>
      </c>
      <c r="G59" s="34">
        <f t="shared" si="0"/>
        <v>162750.09671416943</v>
      </c>
    </row>
    <row r="60" spans="1:7" ht="12" customHeight="1">
      <c r="A60" s="30" t="s">
        <v>51</v>
      </c>
      <c r="B60" s="125">
        <v>8040</v>
      </c>
      <c r="C60" s="129">
        <f>'06_prod_udv'!C60</f>
        <v>511177.73700004537</v>
      </c>
      <c r="D60" s="34">
        <f>'06_prod_udv'!E60</f>
        <v>142.23300000006566</v>
      </c>
      <c r="E60" s="36">
        <v>3496.0305485089193</v>
      </c>
      <c r="F60" s="123">
        <v>0</v>
      </c>
      <c r="G60" s="34">
        <f t="shared" si="0"/>
        <v>507539.4734515364</v>
      </c>
    </row>
    <row r="61" spans="1:7" s="94" customFormat="1" ht="12" customHeight="1">
      <c r="A61" s="32" t="s">
        <v>81</v>
      </c>
      <c r="B61" s="86"/>
      <c r="C61" s="132">
        <f>SUM(C57:C60)</f>
        <v>3818496.1029995247</v>
      </c>
      <c r="D61" s="37">
        <f>SUM(D57:D60)</f>
        <v>81000.80399971301</v>
      </c>
      <c r="E61" s="37">
        <f>SUM(E57:E60)</f>
        <v>31818.88240822233</v>
      </c>
      <c r="F61" s="37">
        <f>SUM(F57:F60)</f>
        <v>73024.57347500457</v>
      </c>
      <c r="G61" s="96">
        <f t="shared" si="0"/>
        <v>3632651.8431165847</v>
      </c>
    </row>
    <row r="62" spans="1:7" s="66" customFormat="1" ht="12" customHeight="1">
      <c r="A62" s="66" t="s">
        <v>52</v>
      </c>
      <c r="C62" s="35">
        <f>C9+C14+C16+C19+C21+C23+C25+C28+C33+C35+C42+C48+C53+C56+C61</f>
        <v>45180359.0870189</v>
      </c>
      <c r="D62" s="35">
        <f>D9+D14+D16+D19+D21+D23+D25+D28+D33+D35+D42+D48+D53+D56+D61</f>
        <v>1274321.6090040482</v>
      </c>
      <c r="E62" s="35">
        <f>E9+E14+E16+E19+E21+E23+E25+E28+E33+E35+E42+E48+E53+E56+E61</f>
        <v>-7.1158865466713905E-09</v>
      </c>
      <c r="F62" s="35">
        <f>F9+F14+F16+F19+F21+F23+F25+F28+F33+F35+F42+F48+F53+F56+F61</f>
        <v>0</v>
      </c>
      <c r="G62" s="34">
        <f t="shared" si="0"/>
        <v>43906037.47801486</v>
      </c>
    </row>
    <row r="63" ht="12" customHeight="1">
      <c r="B63" s="73"/>
    </row>
    <row r="64" spans="1:2" ht="12" customHeight="1">
      <c r="A64" s="121" t="s">
        <v>104</v>
      </c>
      <c r="B64" s="73"/>
    </row>
    <row r="65" ht="12" customHeight="1">
      <c r="B65" s="73"/>
    </row>
    <row r="66" ht="12" customHeight="1"/>
    <row r="67" spans="1:2" ht="12" customHeight="1">
      <c r="A67" s="126" t="s">
        <v>120</v>
      </c>
      <c r="B67" s="73"/>
    </row>
    <row r="68" spans="1:10" ht="12" customHeight="1">
      <c r="A68" s="127" t="s">
        <v>115</v>
      </c>
      <c r="B68" s="73"/>
      <c r="C68" s="129">
        <f>SUM(C4:C8,C10:C13,C15,C24)</f>
        <v>15491669.5480076</v>
      </c>
      <c r="D68" s="129">
        <f>SUM(D4:D8,D10:D13,D15,D24)</f>
        <v>532925.0200019465</v>
      </c>
      <c r="E68" s="129">
        <f>SUM(E4:E8,E10:E13,E15,E24)</f>
        <v>-58370.84463559202</v>
      </c>
      <c r="F68" s="129">
        <f>SUM(F4:F8,F10:F13,F15,F24)</f>
        <v>-242581.14997014185</v>
      </c>
      <c r="G68" s="129">
        <f>C68-D68-E68-F68</f>
        <v>15259696.522611389</v>
      </c>
      <c r="H68" s="129"/>
      <c r="I68" s="129"/>
      <c r="J68" s="129"/>
    </row>
    <row r="69" spans="1:10" ht="12" customHeight="1">
      <c r="A69" s="127" t="s">
        <v>116</v>
      </c>
      <c r="B69" s="73"/>
      <c r="C69" s="129">
        <f>SUM(C17:C18,C20,C22)</f>
        <v>5524210.834002281</v>
      </c>
      <c r="D69" s="129">
        <f>SUM(D17:D18,D20,D22)</f>
        <v>140409.15099992184</v>
      </c>
      <c r="E69" s="129">
        <f>SUM(E17:E18,E20,E22)</f>
        <v>-75187.08789588232</v>
      </c>
      <c r="F69" s="129">
        <f>SUM(F17:F18,F20,F22)</f>
        <v>0</v>
      </c>
      <c r="G69" s="129">
        <f>C69-D69-E69-F69</f>
        <v>5458988.770898241</v>
      </c>
      <c r="H69" s="129"/>
      <c r="I69" s="129"/>
      <c r="J69" s="129"/>
    </row>
    <row r="70" spans="1:10" ht="12" customHeight="1">
      <c r="A70" s="127" t="s">
        <v>117</v>
      </c>
      <c r="C70" s="129">
        <f>SUM(C26:C27,C29:C32,C34,C37,C39:C41)</f>
        <v>10094797.40800529</v>
      </c>
      <c r="D70" s="129">
        <f>SUM(D26:D27,D29:D32,D34,D37,D39:D41)</f>
        <v>267704.6470003965</v>
      </c>
      <c r="E70" s="129">
        <f>SUM(E26:E27,E29:E32,E34,E37,E39:E41)</f>
        <v>-29350.97213783497</v>
      </c>
      <c r="F70" s="129">
        <f>SUM(F26:F27,F29:F32,F34,F37,F39:F41)</f>
        <v>96961.07366372511</v>
      </c>
      <c r="G70" s="129">
        <f>C70-D70-E70-F70</f>
        <v>9759482.659479003</v>
      </c>
      <c r="H70" s="129"/>
      <c r="I70" s="129"/>
      <c r="J70" s="129"/>
    </row>
    <row r="71" spans="1:10" ht="12" customHeight="1">
      <c r="A71" s="127" t="s">
        <v>118</v>
      </c>
      <c r="B71" s="73"/>
      <c r="C71" s="129">
        <f>SUM(C36,C38,C43:C47,C49:C52,C54)</f>
        <v>9921763.251004213</v>
      </c>
      <c r="D71" s="129">
        <f>SUM(D36,D38,D43:D47,D49:D52,D54)</f>
        <v>252281.9870020703</v>
      </c>
      <c r="E71" s="129">
        <f>SUM(E36,E38,E43:E47,E49:E52,E54)</f>
        <v>130752.46423486009</v>
      </c>
      <c r="F71" s="129">
        <f>SUM(F36,F38,F43:F47,F49:F52,F54)</f>
        <v>72595.5028314121</v>
      </c>
      <c r="G71" s="129">
        <f>C71-D71-E71-F71</f>
        <v>9466133.29693587</v>
      </c>
      <c r="H71" s="129"/>
      <c r="I71" s="129"/>
      <c r="J71" s="129"/>
    </row>
    <row r="72" spans="1:10" ht="12" customHeight="1">
      <c r="A72" s="127" t="s">
        <v>119</v>
      </c>
      <c r="C72" s="129">
        <f>SUM(C55,C57:C60)</f>
        <v>4147918.045999517</v>
      </c>
      <c r="D72" s="129">
        <f>SUM(D55,D57:D60)</f>
        <v>81000.80399971301</v>
      </c>
      <c r="E72" s="129">
        <f>SUM(E55,E57:E60)</f>
        <v>32156.440434442105</v>
      </c>
      <c r="F72" s="129">
        <f>SUM(F55,F57:F60)</f>
        <v>73024.57347500457</v>
      </c>
      <c r="G72" s="129">
        <f>C72-D72-E72-F72</f>
        <v>3961736.2280903575</v>
      </c>
      <c r="H72" s="129"/>
      <c r="I72" s="129"/>
      <c r="J72" s="129"/>
    </row>
    <row r="73" ht="12" customHeight="1">
      <c r="B73" s="73"/>
    </row>
    <row r="74" ht="12" customHeight="1">
      <c r="B74" s="73"/>
    </row>
    <row r="75" ht="12" customHeight="1"/>
    <row r="76" ht="12" customHeight="1">
      <c r="B76" s="73"/>
    </row>
    <row r="78" ht="11.25">
      <c r="B78" s="73"/>
    </row>
    <row r="80" ht="11.25">
      <c r="B80" s="73"/>
    </row>
    <row r="82" ht="11.25">
      <c r="B82" s="73"/>
    </row>
    <row r="83" ht="11.25">
      <c r="B83" s="73"/>
    </row>
    <row r="85" ht="11.25">
      <c r="B85" s="73"/>
    </row>
    <row r="86" ht="11.25">
      <c r="B86" s="73"/>
    </row>
    <row r="87" ht="11.25">
      <c r="B87" s="73"/>
    </row>
    <row r="88" ht="11.25">
      <c r="B88" s="73"/>
    </row>
    <row r="90" ht="11.25">
      <c r="B90" s="73"/>
    </row>
    <row r="92" ht="11.25">
      <c r="B92" s="73"/>
    </row>
    <row r="93" ht="11.25">
      <c r="B93" s="73"/>
    </row>
    <row r="94" ht="11.25">
      <c r="B94" s="73"/>
    </row>
    <row r="95" ht="11.25">
      <c r="B95" s="73"/>
    </row>
    <row r="96" ht="11.25">
      <c r="B96" s="73"/>
    </row>
    <row r="97" ht="11.25">
      <c r="B97" s="73"/>
    </row>
    <row r="99" ht="11.25">
      <c r="B99" s="73"/>
    </row>
    <row r="100" ht="11.25">
      <c r="B100" s="73"/>
    </row>
    <row r="101" ht="11.25">
      <c r="B101" s="73"/>
    </row>
    <row r="102" ht="11.25">
      <c r="B102" s="73"/>
    </row>
    <row r="103" ht="11.25">
      <c r="B103" s="73"/>
    </row>
    <row r="105" ht="11.25">
      <c r="B105" s="73"/>
    </row>
    <row r="106" ht="11.25">
      <c r="B106" s="73"/>
    </row>
    <row r="107" ht="11.25">
      <c r="B107" s="73"/>
    </row>
    <row r="108" ht="11.25">
      <c r="B108" s="73"/>
    </row>
    <row r="110" ht="11.25">
      <c r="B110" s="73"/>
    </row>
    <row r="111" ht="11.25">
      <c r="B111" s="73"/>
    </row>
    <row r="113" ht="11.25">
      <c r="B113" s="73"/>
    </row>
    <row r="114" ht="11.25">
      <c r="B114" s="73"/>
    </row>
    <row r="115" ht="11.25">
      <c r="B115" s="73"/>
    </row>
    <row r="116" ht="11.25">
      <c r="B116" s="73"/>
    </row>
    <row r="118" ht="11.25">
      <c r="B118" s="73"/>
    </row>
    <row r="119" ht="11.25">
      <c r="B119" s="73"/>
    </row>
    <row r="120" ht="11.25">
      <c r="B120" s="73"/>
    </row>
    <row r="121" ht="11.25">
      <c r="B121" s="73"/>
    </row>
    <row r="122" ht="11.25">
      <c r="B122" s="73"/>
    </row>
    <row r="124" ht="11.25">
      <c r="B124" s="73"/>
    </row>
    <row r="126" ht="11.25">
      <c r="B126" s="73"/>
    </row>
    <row r="127" ht="11.25">
      <c r="B127" s="73"/>
    </row>
    <row r="128" ht="11.25">
      <c r="B128" s="73"/>
    </row>
    <row r="129" ht="11.25">
      <c r="B129" s="73"/>
    </row>
    <row r="131" ht="11.25">
      <c r="B131" s="73"/>
    </row>
    <row r="132" ht="11.25">
      <c r="B132" s="73"/>
    </row>
    <row r="133" ht="11.25">
      <c r="B133" s="73"/>
    </row>
    <row r="134" ht="11.25">
      <c r="B134" s="73"/>
    </row>
    <row r="135" ht="11.25">
      <c r="B135" s="73"/>
    </row>
    <row r="136" ht="11.25">
      <c r="B136" s="73"/>
    </row>
    <row r="137" ht="11.25">
      <c r="B137" s="73"/>
    </row>
    <row r="138" ht="11.25">
      <c r="B138" s="73"/>
    </row>
    <row r="139" ht="11.25">
      <c r="B139" s="73"/>
    </row>
    <row r="140" ht="11.25">
      <c r="B140" s="73"/>
    </row>
    <row r="141" ht="11.25">
      <c r="B141" s="73"/>
    </row>
    <row r="142" ht="11.25">
      <c r="B142" s="73"/>
    </row>
    <row r="144" ht="11.25">
      <c r="B144" s="73"/>
    </row>
    <row r="145" ht="11.25">
      <c r="B145" s="73"/>
    </row>
    <row r="147" ht="11.25">
      <c r="B147" s="73"/>
    </row>
    <row r="148" ht="11.25">
      <c r="B148" s="73"/>
    </row>
    <row r="149" ht="11.25">
      <c r="B149" s="73"/>
    </row>
    <row r="150" ht="11.25">
      <c r="B150" s="73"/>
    </row>
    <row r="151" ht="11.25">
      <c r="B151" s="73"/>
    </row>
    <row r="153" ht="11.25">
      <c r="B153" s="73"/>
    </row>
    <row r="154" ht="11.25">
      <c r="B154" s="73"/>
    </row>
    <row r="155" ht="11.25">
      <c r="B155" s="73"/>
    </row>
    <row r="156" ht="11.25">
      <c r="B156" s="73"/>
    </row>
    <row r="158" ht="11.25">
      <c r="B158" s="73"/>
    </row>
    <row r="160" ht="11.25">
      <c r="B160" s="73"/>
    </row>
    <row r="161" ht="11.25">
      <c r="B161" s="73"/>
    </row>
    <row r="162" ht="11.25">
      <c r="B162" s="73"/>
    </row>
    <row r="163" ht="11.25">
      <c r="B163" s="73"/>
    </row>
    <row r="164" ht="11.25">
      <c r="B164" s="73"/>
    </row>
    <row r="165" ht="11.25">
      <c r="B165" s="73"/>
    </row>
    <row r="166" ht="11.25">
      <c r="B166" s="73"/>
    </row>
    <row r="167" ht="11.25">
      <c r="B167" s="73"/>
    </row>
    <row r="168" ht="11.25">
      <c r="B168" s="73"/>
    </row>
    <row r="169" ht="11.25">
      <c r="B169" s="73"/>
    </row>
    <row r="170" ht="11.25">
      <c r="B170" s="73"/>
    </row>
    <row r="172" ht="11.25">
      <c r="B172" s="73"/>
    </row>
    <row r="173" ht="11.25">
      <c r="B173" s="73"/>
    </row>
    <row r="175" ht="11.25">
      <c r="B175" s="73"/>
    </row>
    <row r="176" ht="11.25">
      <c r="B176" s="73"/>
    </row>
    <row r="177" ht="11.25">
      <c r="B177" s="73"/>
    </row>
    <row r="178" ht="11.25">
      <c r="B178" s="73"/>
    </row>
    <row r="180" ht="11.25">
      <c r="B180" s="73"/>
    </row>
    <row r="182" ht="11.25">
      <c r="B182" s="73"/>
    </row>
    <row r="183" ht="11.25">
      <c r="B183" s="73"/>
    </row>
    <row r="184" ht="11.25">
      <c r="B184" s="73"/>
    </row>
    <row r="185" ht="11.25">
      <c r="B185" s="73"/>
    </row>
    <row r="187" ht="11.25">
      <c r="B187" s="73"/>
    </row>
    <row r="188" ht="11.25">
      <c r="B188" s="73"/>
    </row>
    <row r="189" ht="11.25">
      <c r="B189" s="73"/>
    </row>
    <row r="190" ht="11.25">
      <c r="B190" s="73"/>
    </row>
    <row r="191" ht="11.25">
      <c r="B191" s="73"/>
    </row>
    <row r="192" ht="11.25">
      <c r="B192" s="73"/>
    </row>
    <row r="193" ht="11.25">
      <c r="B193" s="73"/>
    </row>
    <row r="194" ht="11.25">
      <c r="B194" s="73"/>
    </row>
    <row r="195" ht="11.25">
      <c r="B195" s="73"/>
    </row>
    <row r="196" ht="11.25">
      <c r="B196" s="73"/>
    </row>
    <row r="198" ht="11.25">
      <c r="B198" s="73"/>
    </row>
    <row r="199" ht="11.25">
      <c r="B199" s="73"/>
    </row>
    <row r="200" ht="11.25">
      <c r="B200" s="73"/>
    </row>
    <row r="201" ht="11.25">
      <c r="B201" s="73"/>
    </row>
    <row r="202" ht="11.25">
      <c r="B202" s="73"/>
    </row>
    <row r="204" ht="11.25">
      <c r="B204" s="73"/>
    </row>
    <row r="205" ht="11.25">
      <c r="B205" s="73"/>
    </row>
    <row r="206" ht="11.25">
      <c r="B206" s="73"/>
    </row>
    <row r="208" ht="11.25">
      <c r="B208" s="73"/>
    </row>
    <row r="210" ht="11.25">
      <c r="B210" s="73"/>
    </row>
    <row r="212" ht="11.25">
      <c r="B212" s="73"/>
    </row>
    <row r="213" ht="11.25">
      <c r="B213" s="73"/>
    </row>
    <row r="214" ht="11.25">
      <c r="B214" s="73"/>
    </row>
    <row r="215" ht="11.25">
      <c r="B215" s="73"/>
    </row>
    <row r="217" ht="11.25">
      <c r="B217" s="73"/>
    </row>
    <row r="218" ht="11.25">
      <c r="B218" s="73"/>
    </row>
    <row r="220" ht="11.25">
      <c r="B220" s="73"/>
    </row>
    <row r="222" ht="11.25">
      <c r="B222" s="73"/>
    </row>
  </sheetData>
  <sheetProtection/>
  <printOptions/>
  <pageMargins left="0.7874015748031497" right="0.7874015748031497" top="0.7874015748031497" bottom="0.7874015748031497" header="0" footer="0"/>
  <pageSetup horizontalDpi="600" verticalDpi="600" orientation="landscape" paperSize="9" r:id="rId1"/>
  <headerFooter alignWithMargins="0">
    <oddFooter>&amp;C&amp;P af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19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60.28125" style="0" customWidth="1"/>
  </cols>
  <sheetData>
    <row r="2" ht="20.25">
      <c r="A2" s="25" t="s">
        <v>121</v>
      </c>
    </row>
    <row r="4" ht="12.75">
      <c r="A4" s="23" t="s">
        <v>97</v>
      </c>
    </row>
    <row r="5" ht="12.75">
      <c r="A5" t="s">
        <v>98</v>
      </c>
    </row>
    <row r="7" ht="12.75">
      <c r="A7" s="23" t="s">
        <v>90</v>
      </c>
    </row>
    <row r="9" ht="12.75">
      <c r="A9" s="22">
        <v>2005</v>
      </c>
    </row>
    <row r="10" ht="12.75">
      <c r="A10" t="s">
        <v>103</v>
      </c>
    </row>
    <row r="12" ht="12.75">
      <c r="A12" s="22">
        <v>2006</v>
      </c>
    </row>
    <row r="13" ht="89.25">
      <c r="A13" s="12" t="s">
        <v>106</v>
      </c>
    </row>
    <row r="14" ht="47.25" customHeight="1">
      <c r="A14" s="12" t="s">
        <v>94</v>
      </c>
    </row>
    <row r="16" ht="12.75">
      <c r="A16" s="23" t="s">
        <v>99</v>
      </c>
    </row>
    <row r="18" ht="38.25">
      <c r="A18" s="12" t="s">
        <v>105</v>
      </c>
    </row>
    <row r="19" ht="12.75">
      <c r="A19" s="12"/>
    </row>
  </sheetData>
  <sheetProtection/>
  <printOptions/>
  <pageMargins left="0.7874015748031497" right="0.7874015748031497" top="0.7874015748031497" bottom="0.7874015748031497" header="0" footer="0"/>
  <pageSetup horizontalDpi="600" verticalDpi="600" orientation="portrait" paperSize="9" r:id="rId1"/>
  <headerFooter alignWithMargins="0">
    <oddFooter>&amp;C&amp;P af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216"/>
  <sheetViews>
    <sheetView zoomScalePageLayoutView="0" workbookViewId="0" topLeftCell="A1">
      <selection activeCell="A33" sqref="A33"/>
    </sheetView>
  </sheetViews>
  <sheetFormatPr defaultColWidth="8.8515625" defaultRowHeight="12.75"/>
  <cols>
    <col min="1" max="1" width="22.28125" style="68" customWidth="1"/>
    <col min="2" max="2" width="7.28125" style="68" customWidth="1"/>
    <col min="3" max="3" width="6.7109375" style="34" customWidth="1"/>
    <col min="4" max="4" width="8.8515625" style="34" customWidth="1"/>
    <col min="5" max="5" width="9.140625" style="69" customWidth="1"/>
    <col min="6" max="7" width="6.7109375" style="34" customWidth="1"/>
    <col min="8" max="8" width="8.7109375" style="34" customWidth="1"/>
    <col min="9" max="9" width="8.140625" style="34" customWidth="1"/>
    <col min="10" max="10" width="10.57421875" style="34" customWidth="1"/>
    <col min="11" max="11" width="9.57421875" style="68" customWidth="1"/>
    <col min="12" max="16384" width="8.8515625" style="68" customWidth="1"/>
  </cols>
  <sheetData>
    <row r="1" spans="1:10" s="66" customFormat="1" ht="12.75" customHeight="1">
      <c r="A1" s="66" t="s">
        <v>87</v>
      </c>
      <c r="C1" s="35"/>
      <c r="D1" s="35"/>
      <c r="E1" s="67"/>
      <c r="F1" s="35"/>
      <c r="G1" s="35"/>
      <c r="H1" s="35"/>
      <c r="I1" s="35"/>
      <c r="J1" s="35"/>
    </row>
    <row r="2" ht="12.75" customHeight="1"/>
    <row r="3" spans="1:11" ht="39" customHeight="1">
      <c r="A3" s="70"/>
      <c r="B3" s="137" t="s">
        <v>66</v>
      </c>
      <c r="C3" s="136" t="s">
        <v>108</v>
      </c>
      <c r="D3" s="136"/>
      <c r="E3" s="139"/>
      <c r="F3" s="135" t="s">
        <v>85</v>
      </c>
      <c r="G3" s="139"/>
      <c r="H3" s="135" t="s">
        <v>82</v>
      </c>
      <c r="I3" s="136"/>
      <c r="J3" s="136"/>
      <c r="K3" s="134" t="s">
        <v>107</v>
      </c>
    </row>
    <row r="4" spans="1:11" ht="6" customHeight="1">
      <c r="A4" s="70"/>
      <c r="B4" s="137"/>
      <c r="C4" s="136"/>
      <c r="D4" s="136"/>
      <c r="E4" s="139"/>
      <c r="F4" s="135"/>
      <c r="G4" s="139"/>
      <c r="H4" s="140" t="s">
        <v>95</v>
      </c>
      <c r="I4" s="142" t="s">
        <v>83</v>
      </c>
      <c r="J4" s="142" t="s">
        <v>84</v>
      </c>
      <c r="K4" s="134"/>
    </row>
    <row r="5" spans="1:13" s="70" customFormat="1" ht="43.5" customHeight="1">
      <c r="A5" s="71" t="s">
        <v>1</v>
      </c>
      <c r="B5" s="138"/>
      <c r="C5" s="4">
        <v>2005</v>
      </c>
      <c r="D5" s="4" t="s">
        <v>113</v>
      </c>
      <c r="E5" s="4" t="s">
        <v>112</v>
      </c>
      <c r="F5" s="5">
        <v>2005</v>
      </c>
      <c r="G5" s="4">
        <v>2006</v>
      </c>
      <c r="H5" s="141"/>
      <c r="I5" s="143"/>
      <c r="J5" s="143"/>
      <c r="K5" s="5">
        <v>2006</v>
      </c>
      <c r="M5" s="72"/>
    </row>
    <row r="6" spans="1:14" ht="12.75" customHeight="1">
      <c r="A6" s="27" t="str">
        <f>'05_skema1-7'!A4</f>
        <v>Rigshospitalet</v>
      </c>
      <c r="B6" s="73">
        <v>1301</v>
      </c>
      <c r="C6" s="34">
        <f>'05_prod'!J4/1000</f>
        <v>3773.5408371953977</v>
      </c>
      <c r="D6" s="34">
        <f>'06_prod_udv'!H4/1000</f>
        <v>4052.1692160886896</v>
      </c>
      <c r="E6" s="34">
        <f>'06_prod_tvær'!G4/1000</f>
        <v>4110.898642480051</v>
      </c>
      <c r="F6" s="52">
        <f>'05_dtd'!H4/1000</f>
        <v>3483.3221892640727</v>
      </c>
      <c r="G6" s="34">
        <f>'06_dtd'!H4/1000</f>
        <v>3624.0491455787947</v>
      </c>
      <c r="H6" s="53">
        <f>(D6/C6-1)*100</f>
        <v>7.383738269025231</v>
      </c>
      <c r="I6" s="54">
        <f>(G6/F6-1)*100</f>
        <v>4.040021240310643</v>
      </c>
      <c r="J6" s="58">
        <f>((D6/G6)/(C6/F6)-1)*100</f>
        <v>3.213875765164742</v>
      </c>
      <c r="K6" s="74">
        <f>(E6/G6)/($E$64/$G$64)*100</f>
        <v>103.23542895745501</v>
      </c>
      <c r="L6" s="74">
        <f aca="true" t="shared" si="0" ref="L6:L58">(C6/F6)/($C$64/$F$64)*100</f>
        <v>101.18805631270172</v>
      </c>
      <c r="M6" s="75"/>
      <c r="N6" s="74"/>
    </row>
    <row r="7" spans="1:14" ht="12.75" customHeight="1">
      <c r="A7" s="27" t="s">
        <v>10</v>
      </c>
      <c r="B7" s="73">
        <v>1309</v>
      </c>
      <c r="C7" s="34">
        <f>'05_prod'!J5/1000</f>
        <v>1078.5059800231609</v>
      </c>
      <c r="D7" s="34">
        <f>'06_prod_udv'!H5/1000</f>
        <v>1128.3345892823422</v>
      </c>
      <c r="E7" s="34">
        <f>'06_prod_tvær'!G5/1000</f>
        <v>1136.6497378159186</v>
      </c>
      <c r="F7" s="52">
        <f>'05_dtd'!H5/1000</f>
        <v>1119.508913110335</v>
      </c>
      <c r="G7" s="34">
        <f>'06_dtd'!H5/1000</f>
        <v>1097.7588067380048</v>
      </c>
      <c r="H7" s="53">
        <f aca="true" t="shared" si="1" ref="H7:H64">(D7/C7-1)*100</f>
        <v>4.620151411502715</v>
      </c>
      <c r="I7" s="54">
        <f aca="true" t="shared" si="2" ref="I7:I64">(G7/F7-1)*100</f>
        <v>-1.9428256548580602</v>
      </c>
      <c r="J7" s="58">
        <f aca="true" t="shared" si="3" ref="J7:J64">((D7/G7)/(C7/F7)-1)*100</f>
        <v>6.693010593248805</v>
      </c>
      <c r="K7" s="74">
        <f aca="true" t="shared" si="4" ref="K7:K37">(E7/G7)/($E$64/$G$64)*100</f>
        <v>94.23360424569364</v>
      </c>
      <c r="L7" s="74">
        <f t="shared" si="0"/>
        <v>89.98473617032394</v>
      </c>
      <c r="M7" s="75"/>
      <c r="N7" s="74"/>
    </row>
    <row r="8" spans="1:14" ht="12.75" customHeight="1">
      <c r="A8" s="27" t="s">
        <v>11</v>
      </c>
      <c r="B8" s="73">
        <v>1330</v>
      </c>
      <c r="C8" s="34">
        <f>'05_prod'!J6/1000</f>
        <v>1414.7871774010794</v>
      </c>
      <c r="D8" s="34">
        <f>'06_prod_udv'!H6/1000</f>
        <v>1428.1733071356398</v>
      </c>
      <c r="E8" s="34">
        <f>'06_prod_tvær'!G6/1000</f>
        <v>1435.2625536840633</v>
      </c>
      <c r="F8" s="52">
        <f>'05_dtd'!H6/1000</f>
        <v>1342.0527932897915</v>
      </c>
      <c r="G8" s="34">
        <f>'06_dtd'!H6/1000</f>
        <v>1380.263060236749</v>
      </c>
      <c r="H8" s="53">
        <f t="shared" si="1"/>
        <v>0.9461585423152119</v>
      </c>
      <c r="I8" s="54">
        <f t="shared" si="2"/>
        <v>2.8471508079270347</v>
      </c>
      <c r="J8" s="58">
        <f t="shared" si="3"/>
        <v>-1.848366484320041</v>
      </c>
      <c r="K8" s="74">
        <f t="shared" si="4"/>
        <v>94.63582339078329</v>
      </c>
      <c r="L8" s="74">
        <f t="shared" si="0"/>
        <v>98.46805521541829</v>
      </c>
      <c r="M8" s="75"/>
      <c r="N8" s="74"/>
    </row>
    <row r="9" spans="1:22" ht="12.75" customHeight="1">
      <c r="A9" s="27" t="s">
        <v>12</v>
      </c>
      <c r="B9" s="73">
        <v>1351</v>
      </c>
      <c r="C9" s="34">
        <f>'05_prod'!J7/1000</f>
        <v>349.0871367332304</v>
      </c>
      <c r="D9" s="34">
        <f>'06_prod_udv'!H7/1000</f>
        <v>369.94941245212544</v>
      </c>
      <c r="E9" s="34">
        <f>'06_prod_tvær'!G7/1000</f>
        <v>373.0502120780998</v>
      </c>
      <c r="F9" s="52">
        <f>'05_dtd'!H7/1000</f>
        <v>353.9373711889198</v>
      </c>
      <c r="G9" s="34">
        <f>'06_dtd'!H7/1000</f>
        <v>357.81340949847777</v>
      </c>
      <c r="H9" s="53">
        <f t="shared" si="1"/>
        <v>5.976237312587607</v>
      </c>
      <c r="I9" s="54">
        <f t="shared" si="2"/>
        <v>1.0951198220571667</v>
      </c>
      <c r="J9" s="58">
        <f t="shared" si="3"/>
        <v>4.828242450399123</v>
      </c>
      <c r="K9" s="74">
        <f t="shared" si="4"/>
        <v>94.88482372288011</v>
      </c>
      <c r="L9" s="74">
        <f t="shared" si="0"/>
        <v>92.12579974130057</v>
      </c>
      <c r="M9" s="75"/>
      <c r="N9" s="76"/>
      <c r="O9" s="76"/>
      <c r="P9" s="76"/>
      <c r="Q9" s="76"/>
      <c r="R9" s="76"/>
      <c r="S9" s="74"/>
      <c r="T9" s="74"/>
      <c r="U9" s="74"/>
      <c r="V9" s="74"/>
    </row>
    <row r="10" spans="1:14" ht="12.75" customHeight="1">
      <c r="A10" s="27" t="s">
        <v>13</v>
      </c>
      <c r="B10" s="73">
        <v>1401</v>
      </c>
      <c r="C10" s="34">
        <f>'05_prod'!J8/1000</f>
        <v>679.3380826546843</v>
      </c>
      <c r="D10" s="34">
        <f>'06_prod_udv'!H8/1000</f>
        <v>702.0581724804504</v>
      </c>
      <c r="E10" s="34">
        <f>'06_prod_tvær'!G8/1000</f>
        <v>705.0955693689863</v>
      </c>
      <c r="F10" s="52">
        <f>'05_dtd'!H8/1000</f>
        <v>637.9936393415315</v>
      </c>
      <c r="G10" s="34">
        <f>'06_dtd'!H8/1000</f>
        <v>645.0648716569553</v>
      </c>
      <c r="H10" s="53">
        <f t="shared" si="1"/>
        <v>3.3444451894970584</v>
      </c>
      <c r="I10" s="54">
        <f t="shared" si="2"/>
        <v>1.108354673053169</v>
      </c>
      <c r="J10" s="58">
        <f t="shared" si="3"/>
        <v>2.211578384075752</v>
      </c>
      <c r="K10" s="74">
        <f t="shared" si="4"/>
        <v>99.4788302144405</v>
      </c>
      <c r="L10" s="74">
        <f t="shared" si="0"/>
        <v>99.458855650098</v>
      </c>
      <c r="M10" s="75"/>
      <c r="N10" s="74"/>
    </row>
    <row r="11" spans="1:14" s="66" customFormat="1" ht="12.75" customHeight="1">
      <c r="A11" s="77" t="s">
        <v>72</v>
      </c>
      <c r="B11" s="78"/>
      <c r="C11" s="35">
        <f>'05_prod'!J9/1000</f>
        <v>7295.259214007553</v>
      </c>
      <c r="D11" s="35">
        <f>'06_prod_udv'!H9/1000</f>
        <v>7680.684697439247</v>
      </c>
      <c r="E11" s="35">
        <f>'06_prod_tvær'!G9/1000</f>
        <v>7760.95671542712</v>
      </c>
      <c r="F11" s="79">
        <f>'05_dtd'!H9/1000</f>
        <v>6936.814906194651</v>
      </c>
      <c r="G11" s="35">
        <f>'06_dtd'!H9/1000</f>
        <v>7104.949293708981</v>
      </c>
      <c r="H11" s="80">
        <f t="shared" si="1"/>
        <v>5.283232194020515</v>
      </c>
      <c r="I11" s="81">
        <f t="shared" si="2"/>
        <v>2.4237980944854742</v>
      </c>
      <c r="J11" s="59">
        <f t="shared" si="3"/>
        <v>2.791767296988157</v>
      </c>
      <c r="K11" s="82">
        <f t="shared" si="4"/>
        <v>99.41235330359068</v>
      </c>
      <c r="L11" s="82">
        <f t="shared" si="0"/>
        <v>98.23233493405013</v>
      </c>
      <c r="M11" s="75"/>
      <c r="N11" s="74"/>
    </row>
    <row r="12" spans="1:14" ht="12.75" customHeight="1">
      <c r="A12" s="27" t="s">
        <v>14</v>
      </c>
      <c r="B12" s="73">
        <v>1351</v>
      </c>
      <c r="C12" s="34">
        <f>'05_prod'!J10/1000</f>
        <v>195.51058047929752</v>
      </c>
      <c r="D12" s="34">
        <f>'06_prod_udv'!H10/1000</f>
        <v>207.1947567399579</v>
      </c>
      <c r="E12" s="34">
        <f>'06_prod_tvær'!G10/1000</f>
        <v>208.93139802814014</v>
      </c>
      <c r="F12" s="52">
        <f>'05_dtd'!H10/1000</f>
        <v>198.22701444122023</v>
      </c>
      <c r="G12" s="34">
        <f>'06_dtd'!H10/1000</f>
        <v>200.39783776903826</v>
      </c>
      <c r="H12" s="53">
        <f t="shared" si="1"/>
        <v>5.976237312587607</v>
      </c>
      <c r="I12" s="54">
        <f t="shared" si="2"/>
        <v>1.0951198220572111</v>
      </c>
      <c r="J12" s="58">
        <f t="shared" si="3"/>
        <v>4.828242450399078</v>
      </c>
      <c r="K12" s="74">
        <f t="shared" si="4"/>
        <v>94.88482372288011</v>
      </c>
      <c r="L12" s="74">
        <f>(C12/F12)/($C$64/$F$64)*100</f>
        <v>92.12579974130057</v>
      </c>
      <c r="M12" s="75"/>
      <c r="N12" s="74"/>
    </row>
    <row r="13" spans="1:14" ht="12.75" customHeight="1">
      <c r="A13" s="27" t="s">
        <v>15</v>
      </c>
      <c r="B13" s="73">
        <v>1501</v>
      </c>
      <c r="C13" s="34">
        <f>'05_prod'!J11/1000</f>
        <v>1635.6713999661636</v>
      </c>
      <c r="D13" s="34">
        <f>'06_prod_udv'!H11/1000</f>
        <v>1676.7184412910856</v>
      </c>
      <c r="E13" s="34">
        <f>'06_prod_tvær'!G11/1000</f>
        <v>1694.7605143580822</v>
      </c>
      <c r="F13" s="52">
        <f>'05_dtd'!H11/1000</f>
        <v>1477.1511037486935</v>
      </c>
      <c r="G13" s="34">
        <f>'06_dtd'!H11/1000</f>
        <v>1553.6198362640685</v>
      </c>
      <c r="H13" s="53">
        <f t="shared" si="1"/>
        <v>2.5094919019658324</v>
      </c>
      <c r="I13" s="54">
        <f t="shared" si="2"/>
        <v>5.176771172652117</v>
      </c>
      <c r="J13" s="58">
        <f t="shared" si="3"/>
        <v>-2.5359965332153456</v>
      </c>
      <c r="K13" s="74">
        <f t="shared" si="4"/>
        <v>99.27723100838945</v>
      </c>
      <c r="L13" s="74">
        <f t="shared" si="0"/>
        <v>103.42963272009113</v>
      </c>
      <c r="M13" s="75"/>
      <c r="N13" s="74"/>
    </row>
    <row r="14" spans="1:14" ht="12.75" customHeight="1">
      <c r="A14" s="27" t="s">
        <v>16</v>
      </c>
      <c r="B14" s="73">
        <v>1502</v>
      </c>
      <c r="C14" s="34">
        <f>'05_prod'!J12/1000</f>
        <v>1177.746956002998</v>
      </c>
      <c r="D14" s="34">
        <f>'06_prod_udv'!H12/1000</f>
        <v>1243.9682993082768</v>
      </c>
      <c r="E14" s="34">
        <f>'06_prod_tvær'!G12/1000</f>
        <v>1250.9742217080966</v>
      </c>
      <c r="F14" s="52">
        <f>'05_dtd'!H12/1000</f>
        <v>1172.8048910744972</v>
      </c>
      <c r="G14" s="34">
        <f>'06_dtd'!H12/1000</f>
        <v>1235.5411050447249</v>
      </c>
      <c r="H14" s="53">
        <f t="shared" si="1"/>
        <v>5.622714027639564</v>
      </c>
      <c r="I14" s="54">
        <f t="shared" si="2"/>
        <v>5.349245594699914</v>
      </c>
      <c r="J14" s="58">
        <f t="shared" si="3"/>
        <v>0.2595827159425079</v>
      </c>
      <c r="K14" s="74">
        <f t="shared" si="4"/>
        <v>92.14615926327664</v>
      </c>
      <c r="L14" s="74">
        <f t="shared" si="0"/>
        <v>93.79940159456946</v>
      </c>
      <c r="M14" s="75"/>
      <c r="N14" s="74"/>
    </row>
    <row r="15" spans="1:14" ht="12.75" customHeight="1">
      <c r="A15" s="27" t="s">
        <v>17</v>
      </c>
      <c r="B15" s="73">
        <v>1516</v>
      </c>
      <c r="C15" s="34">
        <f>'05_prod'!J13/1000</f>
        <v>1782.7050984472692</v>
      </c>
      <c r="D15" s="34">
        <f>'06_prod_udv'!H13/1000</f>
        <v>1823.8272826568061</v>
      </c>
      <c r="E15" s="34">
        <f>'06_prod_tvær'!G13/1000</f>
        <v>1829.9239237924246</v>
      </c>
      <c r="F15" s="52">
        <f>'05_dtd'!H13/1000</f>
        <v>1569.7028819860243</v>
      </c>
      <c r="G15" s="34">
        <f>'06_dtd'!H13/1000</f>
        <v>1583.880630483757</v>
      </c>
      <c r="H15" s="53">
        <f t="shared" si="1"/>
        <v>2.306729489098025</v>
      </c>
      <c r="I15" s="54">
        <f t="shared" si="2"/>
        <v>0.9032122359229344</v>
      </c>
      <c r="J15" s="58">
        <f t="shared" si="3"/>
        <v>1.3909539865723186</v>
      </c>
      <c r="K15" s="74">
        <f t="shared" si="4"/>
        <v>105.14694606077248</v>
      </c>
      <c r="L15" s="74">
        <f t="shared" si="0"/>
        <v>106.08058271449845</v>
      </c>
      <c r="M15" s="75"/>
      <c r="N15" s="74"/>
    </row>
    <row r="16" spans="1:14" s="66" customFormat="1" ht="12.75" customHeight="1">
      <c r="A16" s="77" t="s">
        <v>67</v>
      </c>
      <c r="B16" s="78"/>
      <c r="C16" s="35">
        <f>'05_prod'!J14/1000</f>
        <v>4791.634034895727</v>
      </c>
      <c r="D16" s="35">
        <f>'06_prod_udv'!H14/1000</f>
        <v>4951.708779996127</v>
      </c>
      <c r="E16" s="35">
        <f>'06_prod_tvær'!G14/1000</f>
        <v>4984.590057886745</v>
      </c>
      <c r="F16" s="79">
        <f>'05_dtd'!H14/1000</f>
        <v>4417.885891250436</v>
      </c>
      <c r="G16" s="35">
        <f>'06_dtd'!H14/1000</f>
        <v>4573.439409561588</v>
      </c>
      <c r="H16" s="80">
        <f t="shared" si="1"/>
        <v>3.3407130831493825</v>
      </c>
      <c r="I16" s="81">
        <f t="shared" si="2"/>
        <v>3.5209944788122227</v>
      </c>
      <c r="J16" s="59">
        <f t="shared" si="3"/>
        <v>-0.17414959793469187</v>
      </c>
      <c r="K16" s="82">
        <f t="shared" si="4"/>
        <v>99.19107414185821</v>
      </c>
      <c r="L16" s="82">
        <f t="shared" si="0"/>
        <v>101.30782522803695</v>
      </c>
      <c r="M16" s="75"/>
      <c r="N16" s="74"/>
    </row>
    <row r="17" spans="1:14" ht="12.75" customHeight="1">
      <c r="A17" s="7" t="s">
        <v>18</v>
      </c>
      <c r="B17" s="73">
        <v>2000</v>
      </c>
      <c r="C17" s="34">
        <f>'05_prod'!J15/1000</f>
        <v>2158.144423988868</v>
      </c>
      <c r="D17" s="34">
        <f>'06_prod_udv'!H15/1000</f>
        <v>2254.5960947320964</v>
      </c>
      <c r="E17" s="34">
        <f>'06_prod_tvær'!G15/1000</f>
        <v>2257.556891552101</v>
      </c>
      <c r="F17" s="52">
        <f>'05_dtd'!H15/1000</f>
        <v>2049.4623129880088</v>
      </c>
      <c r="G17" s="34">
        <f>'06_dtd'!H15/1000</f>
        <v>2066.6377464517254</v>
      </c>
      <c r="H17" s="53">
        <f t="shared" si="1"/>
        <v>4.4691944464475775</v>
      </c>
      <c r="I17" s="54">
        <f t="shared" si="2"/>
        <v>0.8380458306001204</v>
      </c>
      <c r="J17" s="58">
        <f t="shared" si="3"/>
        <v>3.600970829945971</v>
      </c>
      <c r="K17" s="74">
        <f t="shared" si="4"/>
        <v>99.41694702009046</v>
      </c>
      <c r="L17" s="74">
        <f t="shared" si="0"/>
        <v>98.359069984595</v>
      </c>
      <c r="M17" s="75"/>
      <c r="N17" s="74"/>
    </row>
    <row r="18" spans="1:14" s="66" customFormat="1" ht="12.75" customHeight="1">
      <c r="A18" s="15" t="s">
        <v>68</v>
      </c>
      <c r="B18" s="78"/>
      <c r="C18" s="35">
        <f>'05_prod'!J16/1000</f>
        <v>2158.144423988868</v>
      </c>
      <c r="D18" s="35">
        <f>'06_prod_udv'!H16/1000</f>
        <v>2254.5960947320964</v>
      </c>
      <c r="E18" s="35">
        <f>'06_prod_tvær'!G16/1000</f>
        <v>2257.556891552101</v>
      </c>
      <c r="F18" s="79">
        <f>'05_dtd'!H16/1000</f>
        <v>2049.4623129880088</v>
      </c>
      <c r="G18" s="35">
        <f>'06_dtd'!H16/1000</f>
        <v>2066.6377464517254</v>
      </c>
      <c r="H18" s="80">
        <f t="shared" si="1"/>
        <v>4.4691944464475775</v>
      </c>
      <c r="I18" s="81">
        <f t="shared" si="2"/>
        <v>0.8380458306001204</v>
      </c>
      <c r="J18" s="59">
        <f t="shared" si="3"/>
        <v>3.600970829945971</v>
      </c>
      <c r="K18" s="82">
        <f t="shared" si="4"/>
        <v>99.41694702009046</v>
      </c>
      <c r="L18" s="82">
        <f t="shared" si="0"/>
        <v>98.359069984595</v>
      </c>
      <c r="M18" s="75"/>
      <c r="N18" s="74"/>
    </row>
    <row r="19" spans="1:14" ht="12.75" customHeight="1">
      <c r="A19" s="27" t="s">
        <v>19</v>
      </c>
      <c r="B19" s="73">
        <v>2501</v>
      </c>
      <c r="C19" s="34">
        <f>'05_prod'!J17/1000</f>
        <v>1042.1552745423776</v>
      </c>
      <c r="D19" s="34">
        <f>'06_prod_udv'!H17/1000</f>
        <v>1071.5234263454593</v>
      </c>
      <c r="E19" s="34">
        <f>'06_prod_tvær'!G17/1000</f>
        <v>1072.3584044931815</v>
      </c>
      <c r="F19" s="52">
        <f>'05_dtd'!H17/1000</f>
        <v>896.703867823737</v>
      </c>
      <c r="G19" s="34">
        <f>'06_dtd'!H17/1000</f>
        <v>929.5141556328011</v>
      </c>
      <c r="H19" s="53">
        <f t="shared" si="1"/>
        <v>2.8180207422523917</v>
      </c>
      <c r="I19" s="54">
        <f t="shared" si="2"/>
        <v>3.6589880992365265</v>
      </c>
      <c r="J19" s="58">
        <f t="shared" si="3"/>
        <v>-0.8112826223800607</v>
      </c>
      <c r="K19" s="74">
        <f t="shared" si="4"/>
        <v>104.99534089669133</v>
      </c>
      <c r="L19" s="74">
        <f t="shared" si="0"/>
        <v>108.55685019637811</v>
      </c>
      <c r="M19" s="75"/>
      <c r="N19" s="74"/>
    </row>
    <row r="20" spans="1:14" ht="12.75" customHeight="1">
      <c r="A20" s="27" t="s">
        <v>20</v>
      </c>
      <c r="B20" s="73">
        <v>2502</v>
      </c>
      <c r="C20" s="34">
        <f>'05_prod'!J18/1000</f>
        <v>663.0984300248319</v>
      </c>
      <c r="D20" s="34">
        <f>'06_prod_udv'!H18/1000</f>
        <v>722.9672214607713</v>
      </c>
      <c r="E20" s="34">
        <f>'06_prod_tvær'!G18/1000</f>
        <v>725.117951329189</v>
      </c>
      <c r="F20" s="52">
        <f>'05_dtd'!H18/1000</f>
        <v>570.1177038439802</v>
      </c>
      <c r="G20" s="34">
        <f>'06_dtd'!H18/1000</f>
        <v>630.513641749474</v>
      </c>
      <c r="H20" s="53">
        <f t="shared" si="1"/>
        <v>9.02864321872958</v>
      </c>
      <c r="I20" s="54">
        <f t="shared" si="2"/>
        <v>10.593591024849491</v>
      </c>
      <c r="J20" s="58">
        <f t="shared" si="3"/>
        <v>-1.4150438480366123</v>
      </c>
      <c r="K20" s="74">
        <f t="shared" si="4"/>
        <v>104.66470304434978</v>
      </c>
      <c r="L20" s="74">
        <f t="shared" si="0"/>
        <v>108.6393899241244</v>
      </c>
      <c r="M20" s="75"/>
      <c r="N20" s="74"/>
    </row>
    <row r="21" spans="1:14" s="66" customFormat="1" ht="12.75" customHeight="1">
      <c r="A21" s="77" t="s">
        <v>69</v>
      </c>
      <c r="B21" s="78"/>
      <c r="C21" s="35">
        <f>'05_prod'!J19/1000</f>
        <v>1705.2537045672093</v>
      </c>
      <c r="D21" s="35">
        <f>'06_prod_udv'!H19/1000</f>
        <v>1794.4906478062305</v>
      </c>
      <c r="E21" s="35">
        <f>'06_prod_tvær'!G19/1000</f>
        <v>1797.4763558223704</v>
      </c>
      <c r="F21" s="79">
        <f>'05_dtd'!H19/1000</f>
        <v>1466.8215716677173</v>
      </c>
      <c r="G21" s="35">
        <f>'06_dtd'!H19/1000</f>
        <v>1560.0277973822751</v>
      </c>
      <c r="H21" s="80">
        <f t="shared" si="1"/>
        <v>5.233059632124903</v>
      </c>
      <c r="I21" s="81">
        <f t="shared" si="2"/>
        <v>6.354298812812398</v>
      </c>
      <c r="J21" s="59">
        <f t="shared" si="3"/>
        <v>-1.0542490460690335</v>
      </c>
      <c r="K21" s="82">
        <f t="shared" si="4"/>
        <v>104.86170758789395</v>
      </c>
      <c r="L21" s="82">
        <f t="shared" si="0"/>
        <v>108.58893137173547</v>
      </c>
      <c r="M21" s="75"/>
      <c r="N21" s="74"/>
    </row>
    <row r="22" spans="1:14" ht="12.75" customHeight="1">
      <c r="A22" s="27" t="s">
        <v>21</v>
      </c>
      <c r="B22" s="73">
        <v>3000</v>
      </c>
      <c r="C22" s="34">
        <f>'05_prod'!J20/1000</f>
        <v>1793.6810302419544</v>
      </c>
      <c r="D22" s="34">
        <f>'06_prod_udv'!H20/1000</f>
        <v>1859.3575916424766</v>
      </c>
      <c r="E22" s="34">
        <f>'06_prod_tvær'!G20/1000</f>
        <v>1880.4664349555746</v>
      </c>
      <c r="F22" s="52">
        <f>'05_dtd'!H20/1000</f>
        <v>1840.18894848935</v>
      </c>
      <c r="G22" s="34">
        <f>'06_dtd'!H20/1000</f>
        <v>1908.5400719768572</v>
      </c>
      <c r="H22" s="53">
        <f t="shared" si="1"/>
        <v>3.661551875344471</v>
      </c>
      <c r="I22" s="54">
        <f t="shared" si="2"/>
        <v>3.714353547423377</v>
      </c>
      <c r="J22" s="58">
        <f t="shared" si="3"/>
        <v>-0.05091066980886794</v>
      </c>
      <c r="K22" s="74">
        <f t="shared" si="4"/>
        <v>89.67066266742695</v>
      </c>
      <c r="L22" s="74">
        <f t="shared" si="0"/>
        <v>91.04511373166527</v>
      </c>
      <c r="M22" s="75"/>
      <c r="N22" s="74"/>
    </row>
    <row r="23" spans="1:14" s="66" customFormat="1" ht="12.75" customHeight="1">
      <c r="A23" s="77" t="s">
        <v>70</v>
      </c>
      <c r="B23" s="78"/>
      <c r="C23" s="35">
        <f>'05_prod'!J21/1000</f>
        <v>1793.6810302419544</v>
      </c>
      <c r="D23" s="35">
        <f>'06_prod_udv'!H21/1000</f>
        <v>1859.3575916424766</v>
      </c>
      <c r="E23" s="35">
        <f>'06_prod_tvær'!G21/1000</f>
        <v>1880.4664349555746</v>
      </c>
      <c r="F23" s="79">
        <f>'05_dtd'!H21/1000</f>
        <v>1840.18894848935</v>
      </c>
      <c r="G23" s="35">
        <f>'06_dtd'!H21/1000</f>
        <v>1908.5400719768572</v>
      </c>
      <c r="H23" s="80">
        <f t="shared" si="1"/>
        <v>3.661551875344471</v>
      </c>
      <c r="I23" s="81">
        <f t="shared" si="2"/>
        <v>3.714353547423377</v>
      </c>
      <c r="J23" s="59">
        <f t="shared" si="3"/>
        <v>-0.05091066980886794</v>
      </c>
      <c r="K23" s="82">
        <f t="shared" si="4"/>
        <v>89.67066266742695</v>
      </c>
      <c r="L23" s="82">
        <f t="shared" si="0"/>
        <v>91.04511373166527</v>
      </c>
      <c r="M23" s="75"/>
      <c r="N23" s="74"/>
    </row>
    <row r="24" spans="1:14" ht="12.75" customHeight="1">
      <c r="A24" s="27" t="s">
        <v>22</v>
      </c>
      <c r="B24" s="73">
        <v>3500</v>
      </c>
      <c r="C24" s="34">
        <f>'05_prod'!J22/1000</f>
        <v>1654.337410909615</v>
      </c>
      <c r="D24" s="34">
        <f>'06_prod_udv'!H22/1000</f>
        <v>1768.978946884528</v>
      </c>
      <c r="E24" s="34">
        <f>'06_prod_tvær'!G22/1000</f>
        <v>1781.0459801202962</v>
      </c>
      <c r="F24" s="52">
        <f>'05_dtd'!H22/1000</f>
        <v>1602.2836901198607</v>
      </c>
      <c r="G24" s="34">
        <f>'06_dtd'!H22/1000</f>
        <v>1616.4520695810227</v>
      </c>
      <c r="H24" s="53">
        <f t="shared" si="1"/>
        <v>6.929755394449977</v>
      </c>
      <c r="I24" s="54">
        <f t="shared" si="2"/>
        <v>0.8842616041421447</v>
      </c>
      <c r="J24" s="58">
        <f t="shared" si="3"/>
        <v>5.992504374993213</v>
      </c>
      <c r="K24" s="74">
        <f t="shared" si="4"/>
        <v>100.27631733517433</v>
      </c>
      <c r="L24" s="74">
        <f t="shared" si="0"/>
        <v>96.44029379823853</v>
      </c>
      <c r="M24" s="75"/>
      <c r="N24" s="74"/>
    </row>
    <row r="25" spans="1:14" s="66" customFormat="1" ht="12.75" customHeight="1">
      <c r="A25" s="77" t="s">
        <v>71</v>
      </c>
      <c r="B25" s="78"/>
      <c r="C25" s="35">
        <f>'05_prod'!J23/1000</f>
        <v>1654.337410909615</v>
      </c>
      <c r="D25" s="35">
        <f>'06_prod_udv'!H23/1000</f>
        <v>1768.978946884528</v>
      </c>
      <c r="E25" s="35">
        <f>'06_prod_tvær'!G23/1000</f>
        <v>1781.0459801202962</v>
      </c>
      <c r="F25" s="79">
        <f>'05_dtd'!H23/1000</f>
        <v>1602.2836901198607</v>
      </c>
      <c r="G25" s="35">
        <f>'06_dtd'!H23/1000</f>
        <v>1616.4520695810227</v>
      </c>
      <c r="H25" s="80">
        <f t="shared" si="1"/>
        <v>6.929755394449977</v>
      </c>
      <c r="I25" s="81">
        <f t="shared" si="2"/>
        <v>0.8842616041421447</v>
      </c>
      <c r="J25" s="59">
        <f t="shared" si="3"/>
        <v>5.992504374993213</v>
      </c>
      <c r="K25" s="82">
        <f t="shared" si="4"/>
        <v>100.27631733517433</v>
      </c>
      <c r="L25" s="82">
        <f t="shared" si="0"/>
        <v>96.44029379823853</v>
      </c>
      <c r="M25" s="75"/>
      <c r="N25" s="74"/>
    </row>
    <row r="26" spans="1:14" ht="12.75" customHeight="1">
      <c r="A26" s="27" t="s">
        <v>23</v>
      </c>
      <c r="B26" s="73">
        <v>4001</v>
      </c>
      <c r="C26" s="34">
        <f>'05_prod'!J24/1000</f>
        <v>242.59075298113973</v>
      </c>
      <c r="D26" s="34">
        <f>'06_prod_udv'!H24/1000</f>
        <v>255.0081736730616</v>
      </c>
      <c r="E26" s="34">
        <f>'06_prod_tvær'!G24/1000</f>
        <v>256.5928577454202</v>
      </c>
      <c r="F26" s="52">
        <f>'05_dtd'!H24/1000</f>
        <v>283.182276034295</v>
      </c>
      <c r="G26" s="34">
        <f>'06_dtd'!H24/1000</f>
        <v>298.343461280633</v>
      </c>
      <c r="H26" s="53">
        <f t="shared" si="1"/>
        <v>5.118670245805812</v>
      </c>
      <c r="I26" s="54">
        <f t="shared" si="2"/>
        <v>5.353860933196919</v>
      </c>
      <c r="J26" s="58">
        <f t="shared" si="3"/>
        <v>-0.22323879287180493</v>
      </c>
      <c r="K26" s="74">
        <f t="shared" si="4"/>
        <v>78.27338502570083</v>
      </c>
      <c r="L26" s="74">
        <f t="shared" si="0"/>
        <v>80.01695495775054</v>
      </c>
      <c r="M26" s="75"/>
      <c r="N26" s="74"/>
    </row>
    <row r="27" spans="1:14" s="66" customFormat="1" ht="12.75" customHeight="1">
      <c r="A27" s="77" t="s">
        <v>73</v>
      </c>
      <c r="B27" s="78"/>
      <c r="C27" s="35">
        <f>'05_prod'!J25/1000</f>
        <v>242.59075298113973</v>
      </c>
      <c r="D27" s="35">
        <f>'06_prod_udv'!H25/1000</f>
        <v>255.0081736730616</v>
      </c>
      <c r="E27" s="35">
        <f>'06_prod_tvær'!G25/1000</f>
        <v>256.5928577454202</v>
      </c>
      <c r="F27" s="79">
        <f>'05_dtd'!H25/1000</f>
        <v>283.182276034295</v>
      </c>
      <c r="G27" s="35">
        <f>'06_dtd'!H25/1000</f>
        <v>298.343461280633</v>
      </c>
      <c r="H27" s="80">
        <f t="shared" si="1"/>
        <v>5.118670245805812</v>
      </c>
      <c r="I27" s="81">
        <f t="shared" si="2"/>
        <v>5.353860933196919</v>
      </c>
      <c r="J27" s="59">
        <f t="shared" si="3"/>
        <v>-0.22323879287180493</v>
      </c>
      <c r="K27" s="82">
        <f t="shared" si="4"/>
        <v>78.27338502570083</v>
      </c>
      <c r="L27" s="82">
        <f t="shared" si="0"/>
        <v>80.01695495775054</v>
      </c>
      <c r="M27" s="75"/>
      <c r="N27" s="74"/>
    </row>
    <row r="28" spans="1:14" ht="12.75" customHeight="1">
      <c r="A28" s="27" t="s">
        <v>24</v>
      </c>
      <c r="B28" s="73">
        <v>4202</v>
      </c>
      <c r="C28" s="34">
        <f>'05_prod'!J26/1000</f>
        <v>3308.7041019948406</v>
      </c>
      <c r="D28" s="34">
        <f>'06_prod_udv'!H26/1000</f>
        <v>3530.7449741559994</v>
      </c>
      <c r="E28" s="34">
        <f>'06_prod_tvær'!G26/1000</f>
        <v>3549.3179683668936</v>
      </c>
      <c r="F28" s="52">
        <f>'05_dtd'!H26/1000</f>
        <v>2952.802995653916</v>
      </c>
      <c r="G28" s="34">
        <f>'06_dtd'!H26/1000</f>
        <v>2997.681848664389</v>
      </c>
      <c r="H28" s="53">
        <f t="shared" si="1"/>
        <v>6.7108107983209875</v>
      </c>
      <c r="I28" s="54">
        <f t="shared" si="2"/>
        <v>1.5198729165653013</v>
      </c>
      <c r="J28" s="58">
        <f t="shared" si="3"/>
        <v>5.1132233843731</v>
      </c>
      <c r="K28" s="74">
        <f t="shared" si="4"/>
        <v>107.75698850407036</v>
      </c>
      <c r="L28" s="74">
        <f t="shared" si="0"/>
        <v>104.66399385251388</v>
      </c>
      <c r="M28" s="75"/>
      <c r="N28" s="74"/>
    </row>
    <row r="29" spans="1:14" ht="12.75" customHeight="1">
      <c r="A29" s="27" t="s">
        <v>25</v>
      </c>
      <c r="B29" s="73">
        <v>4212</v>
      </c>
      <c r="C29" s="34">
        <f>'05_prod'!J27/1000</f>
        <v>987.2594116604821</v>
      </c>
      <c r="D29" s="34">
        <f>'06_prod_udv'!H27/1000</f>
        <v>993.9203142906468</v>
      </c>
      <c r="E29" s="34">
        <f>'06_prod_tvær'!G27/1000</f>
        <v>1002.2505026664501</v>
      </c>
      <c r="F29" s="52">
        <f>'05_dtd'!H27/1000</f>
        <v>990.258058006085</v>
      </c>
      <c r="G29" s="34">
        <f>'06_dtd'!H27/1000</f>
        <v>976.8740558287718</v>
      </c>
      <c r="H29" s="53">
        <f t="shared" si="1"/>
        <v>0.6746861616605537</v>
      </c>
      <c r="I29" s="54">
        <f t="shared" si="2"/>
        <v>-1.351567106079632</v>
      </c>
      <c r="J29" s="58">
        <f t="shared" si="3"/>
        <v>2.054014654159886</v>
      </c>
      <c r="K29" s="74">
        <f t="shared" si="4"/>
        <v>93.37353119992868</v>
      </c>
      <c r="L29" s="74">
        <f t="shared" si="0"/>
        <v>93.12295385930838</v>
      </c>
      <c r="M29" s="75"/>
      <c r="N29" s="74"/>
    </row>
    <row r="30" spans="1:14" s="66" customFormat="1" ht="12.75" customHeight="1">
      <c r="A30" s="77" t="s">
        <v>74</v>
      </c>
      <c r="B30" s="78"/>
      <c r="C30" s="35">
        <f>'05_prod'!J28/1000</f>
        <v>4295.9635136553225</v>
      </c>
      <c r="D30" s="35">
        <f>'06_prod_udv'!H28/1000</f>
        <v>4524.665288446647</v>
      </c>
      <c r="E30" s="35">
        <f>'06_prod_tvær'!G28/1000</f>
        <v>4551.5684710333435</v>
      </c>
      <c r="F30" s="79">
        <f>'05_dtd'!H28/1000</f>
        <v>3943.0610536600007</v>
      </c>
      <c r="G30" s="35">
        <f>'06_dtd'!H28/1000</f>
        <v>3974.5559044931606</v>
      </c>
      <c r="H30" s="80">
        <f t="shared" si="1"/>
        <v>5.323643323886795</v>
      </c>
      <c r="I30" s="81">
        <f t="shared" si="2"/>
        <v>0.7987411405645295</v>
      </c>
      <c r="J30" s="59">
        <f t="shared" si="3"/>
        <v>4.489046323517321</v>
      </c>
      <c r="K30" s="82">
        <f t="shared" si="4"/>
        <v>104.2217944821036</v>
      </c>
      <c r="L30" s="82">
        <f t="shared" si="0"/>
        <v>101.76558378594034</v>
      </c>
      <c r="M30" s="75"/>
      <c r="N30" s="74"/>
    </row>
    <row r="31" spans="1:14" ht="12.75" customHeight="1">
      <c r="A31" s="27" t="s">
        <v>26</v>
      </c>
      <c r="B31" s="73">
        <v>5001</v>
      </c>
      <c r="C31" s="34">
        <f>'05_prod'!J29/1000</f>
        <v>708.0154613905667</v>
      </c>
      <c r="D31" s="34">
        <f>'06_prod_udv'!H29/1000</f>
        <v>708.8365204455544</v>
      </c>
      <c r="E31" s="34">
        <f>'06_prod_tvær'!G29/1000</f>
        <v>716.7668393003659</v>
      </c>
      <c r="F31" s="52">
        <f>'05_dtd'!H29/1000</f>
        <v>725.83991554374</v>
      </c>
      <c r="G31" s="34">
        <f>'06_dtd'!H29/1000</f>
        <v>716.6067821119453</v>
      </c>
      <c r="H31" s="53">
        <f t="shared" si="1"/>
        <v>0.115966260591982</v>
      </c>
      <c r="I31" s="54">
        <f t="shared" si="2"/>
        <v>-1.2720619566475522</v>
      </c>
      <c r="J31" s="58">
        <f t="shared" si="3"/>
        <v>1.4059122926582734</v>
      </c>
      <c r="K31" s="74">
        <f t="shared" si="4"/>
        <v>91.02969064589476</v>
      </c>
      <c r="L31" s="74">
        <f t="shared" si="0"/>
        <v>91.11203362601634</v>
      </c>
      <c r="M31" s="75"/>
      <c r="N31" s="74"/>
    </row>
    <row r="32" spans="1:14" ht="12.75" customHeight="1">
      <c r="A32" s="27" t="s">
        <v>27</v>
      </c>
      <c r="B32" s="73">
        <v>5002</v>
      </c>
      <c r="C32" s="34">
        <f>'05_prod'!J30/1000</f>
        <v>303.78844961130494</v>
      </c>
      <c r="D32" s="34">
        <f>'06_prod_udv'!H30/1000</f>
        <v>309.43042595414425</v>
      </c>
      <c r="E32" s="34">
        <f>'06_prod_tvær'!G30/1000</f>
        <v>309.4515845631937</v>
      </c>
      <c r="F32" s="52">
        <f>'05_dtd'!H30/1000</f>
        <v>305.128568275724</v>
      </c>
      <c r="G32" s="34">
        <f>'06_dtd'!H30/1000</f>
        <v>304.14042330650136</v>
      </c>
      <c r="H32" s="53">
        <f t="shared" si="1"/>
        <v>1.8572056804852854</v>
      </c>
      <c r="I32" s="54">
        <f t="shared" si="2"/>
        <v>-0.32384544482563227</v>
      </c>
      <c r="J32" s="58">
        <f t="shared" si="3"/>
        <v>2.1881373083104005</v>
      </c>
      <c r="K32" s="74">
        <f t="shared" si="4"/>
        <v>92.59864697331588</v>
      </c>
      <c r="L32" s="74">
        <f t="shared" si="0"/>
        <v>92.99556385868857</v>
      </c>
      <c r="M32" s="75"/>
      <c r="N32" s="74"/>
    </row>
    <row r="33" spans="1:14" ht="12.75" customHeight="1">
      <c r="A33" s="27" t="s">
        <v>28</v>
      </c>
      <c r="B33" s="73">
        <v>5003</v>
      </c>
      <c r="C33" s="34">
        <f>'05_prod'!J31/1000</f>
        <v>56.1855136678276</v>
      </c>
      <c r="D33" s="34">
        <f>'06_prod_udv'!H31/1000</f>
        <v>55.03447185511794</v>
      </c>
      <c r="E33" s="34">
        <f>'06_prod_tvær'!G31/1000</f>
        <v>55.03674487008176</v>
      </c>
      <c r="F33" s="52">
        <f>'05_dtd'!H31/1000</f>
        <v>63.37672887270344</v>
      </c>
      <c r="G33" s="34">
        <f>'06_dtd'!H31/1000</f>
        <v>53.25100420184165</v>
      </c>
      <c r="H33" s="53">
        <f t="shared" si="1"/>
        <v>-2.0486451712708242</v>
      </c>
      <c r="I33" s="54">
        <f t="shared" si="2"/>
        <v>-15.977038971512725</v>
      </c>
      <c r="J33" s="58">
        <f t="shared" si="3"/>
        <v>16.57688997120632</v>
      </c>
      <c r="K33" s="74">
        <f t="shared" si="4"/>
        <v>94.0613080384193</v>
      </c>
      <c r="L33" s="74">
        <f t="shared" si="0"/>
        <v>82.8072537420934</v>
      </c>
      <c r="M33" s="75"/>
      <c r="N33" s="74"/>
    </row>
    <row r="34" spans="1:14" ht="12.75" customHeight="1">
      <c r="A34" s="27" t="s">
        <v>29</v>
      </c>
      <c r="B34" s="73">
        <v>5004</v>
      </c>
      <c r="C34" s="34">
        <f>'05_prod'!J32/1000</f>
        <v>380.0009578611138</v>
      </c>
      <c r="D34" s="34">
        <f>'06_prod_udv'!H32/1000</f>
        <v>391.21123668265693</v>
      </c>
      <c r="E34" s="34">
        <f>'06_prod_tvær'!G32/1000</f>
        <v>396.64525016884267</v>
      </c>
      <c r="F34" s="52">
        <f>'05_dtd'!H32/1000</f>
        <v>418.8183599066756</v>
      </c>
      <c r="G34" s="34">
        <f>'06_dtd'!H32/1000</f>
        <v>416.68900235859945</v>
      </c>
      <c r="H34" s="53">
        <f t="shared" si="1"/>
        <v>2.9500659378970173</v>
      </c>
      <c r="I34" s="54">
        <f t="shared" si="2"/>
        <v>-0.5084202967010842</v>
      </c>
      <c r="J34" s="58">
        <f t="shared" si="3"/>
        <v>3.476159736242912</v>
      </c>
      <c r="K34" s="74">
        <f t="shared" si="4"/>
        <v>86.63159208824901</v>
      </c>
      <c r="L34" s="74">
        <f t="shared" si="0"/>
        <v>84.7486571258135</v>
      </c>
      <c r="M34" s="75"/>
      <c r="N34" s="74"/>
    </row>
    <row r="35" spans="1:14" s="66" customFormat="1" ht="12.75" customHeight="1">
      <c r="A35" s="77" t="s">
        <v>75</v>
      </c>
      <c r="B35" s="78"/>
      <c r="C35" s="35">
        <f>'05_prod'!J33/1000</f>
        <v>1447.9903825308131</v>
      </c>
      <c r="D35" s="35">
        <f>'06_prod_udv'!H33/1000</f>
        <v>1464.5126549374736</v>
      </c>
      <c r="E35" s="35">
        <f>'06_prod_tvær'!G33/1000</f>
        <v>1477.900418902484</v>
      </c>
      <c r="F35" s="79">
        <f>'05_dtd'!H33/1000</f>
        <v>1513.1635725988428</v>
      </c>
      <c r="G35" s="35">
        <f>'06_dtd'!H33/1000</f>
        <v>1490.6872119788877</v>
      </c>
      <c r="H35" s="80">
        <f t="shared" si="1"/>
        <v>1.141048490790575</v>
      </c>
      <c r="I35" s="81">
        <f t="shared" si="2"/>
        <v>-1.4853886933950067</v>
      </c>
      <c r="J35" s="59">
        <f t="shared" si="3"/>
        <v>2.666038214383626</v>
      </c>
      <c r="K35" s="82">
        <f t="shared" si="4"/>
        <v>90.22870464521917</v>
      </c>
      <c r="L35" s="82">
        <f t="shared" si="0"/>
        <v>89.38273624104097</v>
      </c>
      <c r="M35" s="75"/>
      <c r="N35" s="74"/>
    </row>
    <row r="36" spans="1:14" ht="12.75" customHeight="1">
      <c r="A36" s="27" t="s">
        <v>30</v>
      </c>
      <c r="B36" s="73">
        <v>5501</v>
      </c>
      <c r="C36" s="34">
        <f>'05_prod'!J34/1000</f>
        <v>1437.798737603285</v>
      </c>
      <c r="D36" s="34">
        <f>'06_prod_udv'!H34/1000</f>
        <v>1493.40129458905</v>
      </c>
      <c r="E36" s="34">
        <f>'06_prod_tvær'!G34/1000</f>
        <v>1502.2711864762312</v>
      </c>
      <c r="F36" s="52">
        <f>'05_dtd'!H34/1000</f>
        <v>1215.4704161604093</v>
      </c>
      <c r="G36" s="34">
        <f>'06_dtd'!H34/1000</f>
        <v>1258.243618529422</v>
      </c>
      <c r="H36" s="53">
        <f t="shared" si="1"/>
        <v>3.8672002924728277</v>
      </c>
      <c r="I36" s="54">
        <f t="shared" si="2"/>
        <v>3.5190656885035976</v>
      </c>
      <c r="J36" s="58">
        <f t="shared" si="3"/>
        <v>0.33629998653272875</v>
      </c>
      <c r="K36" s="74">
        <f t="shared" si="4"/>
        <v>108.65999413391694</v>
      </c>
      <c r="L36" s="74">
        <f t="shared" si="0"/>
        <v>110.49116454238388</v>
      </c>
      <c r="M36" s="75"/>
      <c r="N36" s="74"/>
    </row>
    <row r="37" spans="1:14" s="66" customFormat="1" ht="12.75" customHeight="1">
      <c r="A37" s="77" t="s">
        <v>76</v>
      </c>
      <c r="B37" s="78"/>
      <c r="C37" s="35">
        <f>'05_prod'!J35/1000</f>
        <v>1437.798737603285</v>
      </c>
      <c r="D37" s="35">
        <f>'06_prod_udv'!H35/1000</f>
        <v>1493.40129458905</v>
      </c>
      <c r="E37" s="35">
        <f>'06_prod_tvær'!G35/1000</f>
        <v>1502.2711864762312</v>
      </c>
      <c r="F37" s="79">
        <f>'05_dtd'!H35/1000</f>
        <v>1215.4704161604093</v>
      </c>
      <c r="G37" s="35">
        <f>'06_dtd'!H35/1000</f>
        <v>1258.243618529422</v>
      </c>
      <c r="H37" s="80">
        <f t="shared" si="1"/>
        <v>3.8672002924728277</v>
      </c>
      <c r="I37" s="81">
        <f t="shared" si="2"/>
        <v>3.5190656885035976</v>
      </c>
      <c r="J37" s="59">
        <f t="shared" si="3"/>
        <v>0.33629998653272875</v>
      </c>
      <c r="K37" s="82">
        <f t="shared" si="4"/>
        <v>108.65999413391694</v>
      </c>
      <c r="L37" s="82">
        <f t="shared" si="0"/>
        <v>110.49116454238388</v>
      </c>
      <c r="M37" s="75"/>
      <c r="N37" s="74"/>
    </row>
    <row r="38" spans="1:14" ht="12.75" customHeight="1">
      <c r="A38" s="27" t="s">
        <v>31</v>
      </c>
      <c r="B38" s="73">
        <v>6002</v>
      </c>
      <c r="C38" s="34">
        <f>'05_prod'!J36/1000</f>
        <v>82.72458084628141</v>
      </c>
      <c r="D38" s="34">
        <f>'06_prod_udv'!H36/1000</f>
        <v>99.95010318965927</v>
      </c>
      <c r="E38" s="34">
        <f>'06_prod_tvær'!G36/1000</f>
        <v>99.95729380920378</v>
      </c>
      <c r="F38" s="52">
        <f>'05_dtd'!H36/1000</f>
        <v>87.70055797489299</v>
      </c>
      <c r="G38" s="34">
        <f>'06_dtd'!H36/1000</f>
        <v>86.84162092408575</v>
      </c>
      <c r="H38" s="53">
        <f t="shared" si="1"/>
        <v>20.822737531165348</v>
      </c>
      <c r="I38" s="54">
        <f t="shared" si="2"/>
        <v>-0.9793974755019641</v>
      </c>
      <c r="J38" s="58">
        <f t="shared" si="3"/>
        <v>22.0177765544028</v>
      </c>
      <c r="K38" s="74">
        <f aca="true" t="shared" si="5" ref="K38:K63">(E38/G38)/($E$64/$G$64)*100</f>
        <v>104.75448951223383</v>
      </c>
      <c r="L38" s="74">
        <f t="shared" si="0"/>
        <v>88.10611763944691</v>
      </c>
      <c r="M38" s="75"/>
      <c r="N38" s="74"/>
    </row>
    <row r="39" spans="1:14" ht="12.75" customHeight="1">
      <c r="A39" s="27" t="s">
        <v>32</v>
      </c>
      <c r="B39" s="73">
        <v>6004</v>
      </c>
      <c r="C39" s="34">
        <f>'05_prod'!J37/1000</f>
        <v>143.2336110394568</v>
      </c>
      <c r="D39" s="34">
        <f>'06_prod_udv'!H37/1000</f>
        <v>107.83088310263159</v>
      </c>
      <c r="E39" s="34">
        <f>'06_prod_tvær'!G37/1000</f>
        <v>107.83652303860927</v>
      </c>
      <c r="F39" s="52">
        <f>'05_dtd'!H37/1000</f>
        <v>111.36107117265948</v>
      </c>
      <c r="G39" s="34">
        <f>'06_dtd'!H37/1000</f>
        <v>91.675</v>
      </c>
      <c r="H39" s="53">
        <f t="shared" si="1"/>
        <v>-24.71677400290688</v>
      </c>
      <c r="I39" s="54">
        <f t="shared" si="2"/>
        <v>-17.677695594484057</v>
      </c>
      <c r="J39" s="58">
        <f t="shared" si="3"/>
        <v>-8.55063334202677</v>
      </c>
      <c r="K39" s="74">
        <f t="shared" si="5"/>
        <v>107.05354026618727</v>
      </c>
      <c r="L39" s="74">
        <f t="shared" si="0"/>
        <v>120.13938019220953</v>
      </c>
      <c r="M39" s="75"/>
      <c r="N39" s="74"/>
    </row>
    <row r="40" spans="1:14" ht="12.75" customHeight="1">
      <c r="A40" s="27" t="s">
        <v>33</v>
      </c>
      <c r="B40" s="73">
        <v>6006</v>
      </c>
      <c r="C40" s="34">
        <f>'05_prod'!J38/1000</f>
        <v>521.4637174839775</v>
      </c>
      <c r="D40" s="34">
        <f>'06_prod_udv'!H38/1000</f>
        <v>560.9074530370369</v>
      </c>
      <c r="E40" s="34">
        <f>'06_prod_tvær'!G38/1000</f>
        <v>567.8726819365448</v>
      </c>
      <c r="F40" s="52">
        <f>'05_dtd'!H38/1000</f>
        <v>423.29689918382013</v>
      </c>
      <c r="G40" s="34">
        <f>'06_dtd'!H38/1000</f>
        <v>451.54599307566394</v>
      </c>
      <c r="H40" s="53">
        <f t="shared" si="1"/>
        <v>7.564042181759545</v>
      </c>
      <c r="I40" s="54">
        <f t="shared" si="2"/>
        <v>6.673588667035424</v>
      </c>
      <c r="J40" s="58">
        <f t="shared" si="3"/>
        <v>0.8347460002527063</v>
      </c>
      <c r="K40" s="74">
        <f t="shared" si="5"/>
        <v>114.4550766031466</v>
      </c>
      <c r="L40" s="74">
        <f t="shared" si="0"/>
        <v>115.06754703399997</v>
      </c>
      <c r="M40" s="75"/>
      <c r="N40" s="74"/>
    </row>
    <row r="41" spans="1:14" ht="12.75" customHeight="1">
      <c r="A41" s="27" t="s">
        <v>34</v>
      </c>
      <c r="B41" s="73">
        <v>6007</v>
      </c>
      <c r="C41" s="34">
        <f>'05_prod'!J39/1000</f>
        <v>1023.0908606289727</v>
      </c>
      <c r="D41" s="34">
        <f>'06_prod_udv'!H39/1000</f>
        <v>1036.7391448849037</v>
      </c>
      <c r="E41" s="34">
        <f>'06_prod_tvær'!G39/1000</f>
        <v>1047.3910192828976</v>
      </c>
      <c r="F41" s="52">
        <f>'05_dtd'!H39/1000</f>
        <v>877.7569685350308</v>
      </c>
      <c r="G41" s="34">
        <f>'06_dtd'!H39/1000</f>
        <v>934.2913807851928</v>
      </c>
      <c r="H41" s="53">
        <f t="shared" si="1"/>
        <v>1.3340246483621643</v>
      </c>
      <c r="I41" s="54">
        <f t="shared" si="2"/>
        <v>6.440781933582085</v>
      </c>
      <c r="J41" s="58">
        <f t="shared" si="3"/>
        <v>-4.797744992522224</v>
      </c>
      <c r="K41" s="74">
        <f t="shared" si="5"/>
        <v>102.0264039332297</v>
      </c>
      <c r="L41" s="74">
        <f t="shared" si="0"/>
        <v>108.8713892760301</v>
      </c>
      <c r="M41" s="75"/>
      <c r="N41" s="74"/>
    </row>
    <row r="42" spans="1:14" ht="12.75" customHeight="1">
      <c r="A42" s="27" t="s">
        <v>35</v>
      </c>
      <c r="B42" s="73">
        <v>6008</v>
      </c>
      <c r="C42" s="34">
        <f>'05_prod'!J40/1000</f>
        <v>910.4069293091145</v>
      </c>
      <c r="D42" s="34">
        <f>'06_prod_udv'!H40/1000</f>
        <v>995.5185316168613</v>
      </c>
      <c r="E42" s="34">
        <f>'06_prod_tvær'!G40/1000</f>
        <v>1005.9827417159461</v>
      </c>
      <c r="F42" s="52">
        <f>'05_dtd'!H40/1000</f>
        <v>706.7736664850763</v>
      </c>
      <c r="G42" s="34">
        <f>'06_dtd'!H40/1000</f>
        <v>767.676</v>
      </c>
      <c r="H42" s="53">
        <f t="shared" si="1"/>
        <v>9.348742805850119</v>
      </c>
      <c r="I42" s="54">
        <f t="shared" si="2"/>
        <v>8.616950008593683</v>
      </c>
      <c r="J42" s="58">
        <f t="shared" si="3"/>
        <v>0.6737371995793717</v>
      </c>
      <c r="K42" s="74">
        <f t="shared" si="5"/>
        <v>119.26105392113942</v>
      </c>
      <c r="L42" s="74">
        <f t="shared" si="0"/>
        <v>120.31756679441816</v>
      </c>
      <c r="M42" s="75"/>
      <c r="N42" s="74"/>
    </row>
    <row r="43" spans="1:14" ht="12.75" customHeight="1">
      <c r="A43" s="27" t="s">
        <v>36</v>
      </c>
      <c r="B43" s="73">
        <v>6014</v>
      </c>
      <c r="C43" s="34">
        <f>'05_prod'!J41/1000</f>
        <v>57.84822388559521</v>
      </c>
      <c r="D43" s="34">
        <f>'06_prod_udv'!H41/1000</f>
        <v>66.5318220469207</v>
      </c>
      <c r="E43" s="34">
        <f>'06_prod_tvær'!G41/1000</f>
        <v>66.53229902949161</v>
      </c>
      <c r="F43" s="52">
        <f>'05_dtd'!H41/1000</f>
        <v>35.15193087749599</v>
      </c>
      <c r="G43" s="34">
        <f>'06_dtd'!H41/1000</f>
        <v>43.119768488</v>
      </c>
      <c r="H43" s="53">
        <f t="shared" si="1"/>
        <v>15.0110022020707</v>
      </c>
      <c r="I43" s="54">
        <f t="shared" si="2"/>
        <v>22.666856162956783</v>
      </c>
      <c r="J43" s="58">
        <f t="shared" si="3"/>
        <v>-6.241175652790565</v>
      </c>
      <c r="K43" s="74">
        <f t="shared" si="5"/>
        <v>140.42427375918294</v>
      </c>
      <c r="L43" s="74">
        <f t="shared" si="0"/>
        <v>153.7144479057214</v>
      </c>
      <c r="M43" s="75"/>
      <c r="N43" s="74"/>
    </row>
    <row r="44" spans="1:14" s="66" customFormat="1" ht="12.75" customHeight="1">
      <c r="A44" s="77" t="s">
        <v>77</v>
      </c>
      <c r="B44" s="78"/>
      <c r="C44" s="35">
        <f>'05_prod'!J42/1000</f>
        <v>2738.767923193398</v>
      </c>
      <c r="D44" s="35">
        <f>'06_prod_udv'!H42/1000</f>
        <v>2867.4779378780136</v>
      </c>
      <c r="E44" s="35">
        <f>'06_prod_tvær'!G42/1000</f>
        <v>2895.5725588126934</v>
      </c>
      <c r="F44" s="79">
        <f>'05_dtd'!H42/1000</f>
        <v>2242.041094228976</v>
      </c>
      <c r="G44" s="35">
        <f>'06_dtd'!H42/1000</f>
        <v>2375.1497632729424</v>
      </c>
      <c r="H44" s="80">
        <f t="shared" si="1"/>
        <v>4.699559009532273</v>
      </c>
      <c r="I44" s="81">
        <f t="shared" si="2"/>
        <v>5.936941538965934</v>
      </c>
      <c r="J44" s="59">
        <f t="shared" si="3"/>
        <v>-1.1680368636831973</v>
      </c>
      <c r="K44" s="82">
        <f t="shared" si="5"/>
        <v>110.95056786999638</v>
      </c>
      <c r="L44" s="82">
        <f t="shared" si="0"/>
        <v>114.09996469087605</v>
      </c>
      <c r="M44" s="75"/>
      <c r="N44" s="74"/>
    </row>
    <row r="45" spans="1:14" ht="12.75" customHeight="1">
      <c r="A45" s="27" t="s">
        <v>37</v>
      </c>
      <c r="B45" s="73">
        <v>6501</v>
      </c>
      <c r="C45" s="34">
        <f>'05_prod'!J43/1000</f>
        <v>749.8682285353264</v>
      </c>
      <c r="D45" s="34">
        <f>'06_prod_udv'!H43/1000</f>
        <v>765.865544983183</v>
      </c>
      <c r="E45" s="34">
        <f>'06_prod_tvær'!G43/1000</f>
        <v>774.0584752684364</v>
      </c>
      <c r="F45" s="52">
        <f>'05_dtd'!H43/1000</f>
        <v>650.2753629535199</v>
      </c>
      <c r="G45" s="34">
        <f>'06_dtd'!H43/1000</f>
        <v>661.5002187225244</v>
      </c>
      <c r="H45" s="53">
        <f t="shared" si="1"/>
        <v>2.1333503459805447</v>
      </c>
      <c r="I45" s="54">
        <f t="shared" si="2"/>
        <v>1.726169621131235</v>
      </c>
      <c r="J45" s="58">
        <f t="shared" si="3"/>
        <v>0.400271362193072</v>
      </c>
      <c r="K45" s="74">
        <f t="shared" si="5"/>
        <v>106.49515602459485</v>
      </c>
      <c r="L45" s="74">
        <f t="shared" si="0"/>
        <v>107.71135736051518</v>
      </c>
      <c r="M45" s="75"/>
      <c r="N45" s="74"/>
    </row>
    <row r="46" spans="1:14" ht="12.75" customHeight="1">
      <c r="A46" s="27" t="s">
        <v>38</v>
      </c>
      <c r="B46" s="73">
        <v>6502</v>
      </c>
      <c r="C46" s="34">
        <f>'05_prod'!J44/1000</f>
        <v>669.9599367441105</v>
      </c>
      <c r="D46" s="34">
        <f>'06_prod_udv'!H44/1000</f>
        <v>691.8510564968323</v>
      </c>
      <c r="E46" s="34">
        <f>'06_prod_tvær'!G44/1000</f>
        <v>701.4337159907021</v>
      </c>
      <c r="F46" s="52">
        <f>'05_dtd'!H44/1000</f>
        <v>604.3018722039367</v>
      </c>
      <c r="G46" s="34">
        <f>'06_dtd'!H44/1000</f>
        <v>626.2345018252639</v>
      </c>
      <c r="H46" s="53">
        <f t="shared" si="1"/>
        <v>3.2675266910897394</v>
      </c>
      <c r="I46" s="54">
        <f t="shared" si="2"/>
        <v>3.629416129613694</v>
      </c>
      <c r="J46" s="58">
        <f t="shared" si="3"/>
        <v>-0.3492149739329986</v>
      </c>
      <c r="K46" s="74">
        <f t="shared" si="5"/>
        <v>101.93790938424203</v>
      </c>
      <c r="L46" s="74">
        <f t="shared" si="0"/>
        <v>103.55444345831015</v>
      </c>
      <c r="M46" s="75"/>
      <c r="N46" s="74"/>
    </row>
    <row r="47" spans="1:14" ht="12.75" customHeight="1">
      <c r="A47" s="27" t="s">
        <v>39</v>
      </c>
      <c r="B47" s="73">
        <v>6503</v>
      </c>
      <c r="C47" s="34">
        <f>'05_prod'!J45/1000</f>
        <v>30.402925508470872</v>
      </c>
      <c r="D47" s="34">
        <f>'06_prod_udv'!H45/1000</f>
        <v>18.40784648366064</v>
      </c>
      <c r="E47" s="34">
        <f>'06_prod_tvær'!G45/1000</f>
        <v>18.409038292112726</v>
      </c>
      <c r="F47" s="52">
        <f>'05_dtd'!H45/1000</f>
        <v>44.65190463045059</v>
      </c>
      <c r="G47" s="34">
        <f>'06_dtd'!H45/1000</f>
        <v>26.59696048330172</v>
      </c>
      <c r="H47" s="53">
        <f t="shared" si="1"/>
        <v>-39.453700011428694</v>
      </c>
      <c r="I47" s="54">
        <f t="shared" si="2"/>
        <v>-40.43488020628846</v>
      </c>
      <c r="J47" s="58">
        <f t="shared" si="3"/>
        <v>1.6472395224887082</v>
      </c>
      <c r="K47" s="74">
        <f t="shared" si="5"/>
        <v>62.99196689290778</v>
      </c>
      <c r="L47" s="74">
        <f t="shared" si="0"/>
        <v>63.59884560173427</v>
      </c>
      <c r="M47" s="75"/>
      <c r="N47" s="74"/>
    </row>
    <row r="48" spans="1:14" ht="12.75" customHeight="1">
      <c r="A48" s="27" t="s">
        <v>40</v>
      </c>
      <c r="B48" s="73">
        <v>6504</v>
      </c>
      <c r="C48" s="34">
        <f>'05_prod'!J46/1000</f>
        <v>92.87681301825234</v>
      </c>
      <c r="D48" s="34">
        <f>'06_prod_udv'!H46/1000</f>
        <v>93.95946594970398</v>
      </c>
      <c r="E48" s="34">
        <f>'06_prod_tvær'!G46/1000</f>
        <v>93.96558650647637</v>
      </c>
      <c r="F48" s="52">
        <f>'05_dtd'!H46/1000</f>
        <v>89.53463811860757</v>
      </c>
      <c r="G48" s="34">
        <f>'06_dtd'!H46/1000</f>
        <v>82.8848690430777</v>
      </c>
      <c r="H48" s="53">
        <f t="shared" si="1"/>
        <v>1.1656869957832106</v>
      </c>
      <c r="I48" s="54">
        <f t="shared" si="2"/>
        <v>-7.427035184663222</v>
      </c>
      <c r="J48" s="58">
        <f t="shared" si="3"/>
        <v>9.282107575993791</v>
      </c>
      <c r="K48" s="74">
        <f t="shared" si="5"/>
        <v>103.17622866821188</v>
      </c>
      <c r="L48" s="74">
        <f t="shared" si="0"/>
        <v>96.8924790569685</v>
      </c>
      <c r="M48" s="75"/>
      <c r="N48" s="74"/>
    </row>
    <row r="49" spans="1:14" ht="12.75" customHeight="1">
      <c r="A49" s="27" t="s">
        <v>41</v>
      </c>
      <c r="B49" s="73">
        <v>6505</v>
      </c>
      <c r="C49" s="34">
        <f>'05_prod'!J47/1000</f>
        <v>31.717868892836616</v>
      </c>
      <c r="D49" s="34">
        <f>'06_prod_udv'!H47/1000</f>
        <v>24.86154656131487</v>
      </c>
      <c r="E49" s="34">
        <f>'06_prod_tvær'!G47/1000</f>
        <v>24.863835582064752</v>
      </c>
      <c r="F49" s="52">
        <f>'05_dtd'!H47/1000</f>
        <v>49.888319447841994</v>
      </c>
      <c r="G49" s="34">
        <f>'06_dtd'!H47/1000</f>
        <v>41.74172056806519</v>
      </c>
      <c r="H49" s="53">
        <f t="shared" si="1"/>
        <v>-21.61659206892751</v>
      </c>
      <c r="I49" s="54">
        <f t="shared" si="2"/>
        <v>-16.32967189502953</v>
      </c>
      <c r="J49" s="58">
        <f t="shared" si="3"/>
        <v>-6.318751573754033</v>
      </c>
      <c r="K49" s="74">
        <f t="shared" si="5"/>
        <v>54.21055517382216</v>
      </c>
      <c r="L49" s="74">
        <f t="shared" si="0"/>
        <v>59.385302218319104</v>
      </c>
      <c r="M49" s="75"/>
      <c r="N49" s="74"/>
    </row>
    <row r="50" spans="1:14" s="66" customFormat="1" ht="12.75" customHeight="1">
      <c r="A50" s="77" t="s">
        <v>78</v>
      </c>
      <c r="B50" s="78"/>
      <c r="C50" s="35">
        <f>'05_prod'!J48/1000</f>
        <v>1574.8257726989968</v>
      </c>
      <c r="D50" s="35">
        <f>'06_prod_udv'!H48/1000</f>
        <v>1594.9454604746948</v>
      </c>
      <c r="E50" s="35">
        <f>'06_prod_tvær'!G48/1000</f>
        <v>1612.7306516397923</v>
      </c>
      <c r="F50" s="79">
        <f>'05_dtd'!H48/1000</f>
        <v>1438.6520973543566</v>
      </c>
      <c r="G50" s="35">
        <f>'06_dtd'!H48/1000</f>
        <v>1438.9582706422332</v>
      </c>
      <c r="H50" s="80">
        <f t="shared" si="1"/>
        <v>1.2775818204458167</v>
      </c>
      <c r="I50" s="81">
        <f t="shared" si="2"/>
        <v>0.021281954715779428</v>
      </c>
      <c r="J50" s="59">
        <f t="shared" si="3"/>
        <v>1.2560325574499487</v>
      </c>
      <c r="K50" s="82">
        <f t="shared" si="5"/>
        <v>101.99989311687665</v>
      </c>
      <c r="L50" s="82">
        <f t="shared" si="0"/>
        <v>102.24700043464152</v>
      </c>
      <c r="M50" s="75"/>
      <c r="N50" s="74"/>
    </row>
    <row r="51" spans="1:14" ht="12.75" customHeight="1">
      <c r="A51" s="27" t="s">
        <v>42</v>
      </c>
      <c r="B51" s="73">
        <v>7002</v>
      </c>
      <c r="C51" s="34">
        <f>'05_prod'!J49/1000</f>
        <v>547.7819053602393</v>
      </c>
      <c r="D51" s="34">
        <f>'06_prod_udv'!H49/1000</f>
        <v>596.3791047779242</v>
      </c>
      <c r="E51" s="34">
        <f>'06_prod_tvær'!G49/1000</f>
        <v>600.8596065702776</v>
      </c>
      <c r="F51" s="52">
        <f>'05_dtd'!H49/1000</f>
        <v>459.9252432957012</v>
      </c>
      <c r="G51" s="34">
        <f>'06_dtd'!H49/1000</f>
        <v>491.56908153680956</v>
      </c>
      <c r="H51" s="53">
        <f t="shared" si="1"/>
        <v>8.871632841856258</v>
      </c>
      <c r="I51" s="54">
        <f t="shared" si="2"/>
        <v>6.880213404760549</v>
      </c>
      <c r="J51" s="58">
        <f t="shared" si="3"/>
        <v>1.863225543491498</v>
      </c>
      <c r="K51" s="74">
        <f t="shared" si="5"/>
        <v>111.24346971744419</v>
      </c>
      <c r="L51" s="74">
        <f t="shared" si="0"/>
        <v>111.24853006637369</v>
      </c>
      <c r="M51" s="75"/>
      <c r="N51" s="74"/>
    </row>
    <row r="52" spans="1:14" ht="12.75" customHeight="1">
      <c r="A52" s="27" t="s">
        <v>43</v>
      </c>
      <c r="B52" s="73">
        <v>7003</v>
      </c>
      <c r="C52" s="34">
        <f>'05_prod'!J50/1000</f>
        <v>2594.5522535044856</v>
      </c>
      <c r="D52" s="34">
        <f>'06_prod_udv'!H50/1000</f>
        <v>2738.9541335764998</v>
      </c>
      <c r="E52" s="34">
        <f>'06_prod_tvær'!G50/1000</f>
        <v>2755.867294274962</v>
      </c>
      <c r="F52" s="52">
        <f>'05_dtd'!H50/1000</f>
        <v>2349.6928744849247</v>
      </c>
      <c r="G52" s="34">
        <f>'06_dtd'!H50/1000</f>
        <v>2518.653326818315</v>
      </c>
      <c r="H52" s="53">
        <f t="shared" si="1"/>
        <v>5.565579952262256</v>
      </c>
      <c r="I52" s="54">
        <f t="shared" si="2"/>
        <v>7.190746253185454</v>
      </c>
      <c r="J52" s="58">
        <f t="shared" si="3"/>
        <v>-1.5161442174164375</v>
      </c>
      <c r="K52" s="74">
        <f t="shared" si="5"/>
        <v>99.58088521489813</v>
      </c>
      <c r="L52" s="74">
        <f t="shared" si="0"/>
        <v>103.13953464996204</v>
      </c>
      <c r="M52" s="75"/>
      <c r="N52" s="74"/>
    </row>
    <row r="53" spans="1:14" ht="12.75" customHeight="1">
      <c r="A53" s="27" t="s">
        <v>44</v>
      </c>
      <c r="B53" s="73">
        <v>7005</v>
      </c>
      <c r="C53" s="34">
        <f>'05_prod'!J51/1000</f>
        <v>924.816081165076</v>
      </c>
      <c r="D53" s="34">
        <f>'06_prod_udv'!H51/1000</f>
        <v>948.5450992957483</v>
      </c>
      <c r="E53" s="34">
        <f>'06_prod_tvær'!G51/1000</f>
        <v>955.303374209715</v>
      </c>
      <c r="F53" s="52">
        <f>'05_dtd'!H51/1000</f>
        <v>760.4761653690578</v>
      </c>
      <c r="G53" s="34">
        <f>'06_dtd'!H51/1000</f>
        <v>784.3762836168193</v>
      </c>
      <c r="H53" s="53">
        <f t="shared" si="1"/>
        <v>2.5658094202664294</v>
      </c>
      <c r="I53" s="54">
        <f t="shared" si="2"/>
        <v>3.1427833423500973</v>
      </c>
      <c r="J53" s="58">
        <f t="shared" si="3"/>
        <v>-0.5593933995058031</v>
      </c>
      <c r="K53" s="74">
        <f t="shared" si="5"/>
        <v>110.84163771384743</v>
      </c>
      <c r="L53" s="74">
        <f t="shared" si="0"/>
        <v>113.59091858533748</v>
      </c>
      <c r="M53" s="75"/>
      <c r="N53" s="74"/>
    </row>
    <row r="54" spans="1:14" ht="12.75" customHeight="1">
      <c r="A54" s="27" t="s">
        <v>45</v>
      </c>
      <c r="B54" s="73">
        <v>7026</v>
      </c>
      <c r="C54" s="34">
        <f>'05_prod'!J52/1000</f>
        <v>1477.296911533249</v>
      </c>
      <c r="D54" s="34">
        <f>'06_prod_udv'!H52/1000</f>
        <v>1518.1662048986502</v>
      </c>
      <c r="E54" s="34">
        <f>'06_prod_tvær'!G52/1000</f>
        <v>1545.4197863426311</v>
      </c>
      <c r="F54" s="52">
        <f>'05_dtd'!H52/1000</f>
        <v>1406.2766177583435</v>
      </c>
      <c r="G54" s="34">
        <f>'06_dtd'!H52/1000</f>
        <v>1374.9391276010717</v>
      </c>
      <c r="H54" s="53">
        <f t="shared" si="1"/>
        <v>2.7664914917465033</v>
      </c>
      <c r="I54" s="54">
        <f t="shared" si="2"/>
        <v>-2.2284015649228994</v>
      </c>
      <c r="J54" s="58">
        <f t="shared" si="3"/>
        <v>5.108736214419296</v>
      </c>
      <c r="K54" s="74">
        <f t="shared" si="5"/>
        <v>102.29374376423324</v>
      </c>
      <c r="L54" s="74">
        <f t="shared" si="0"/>
        <v>98.12301403008516</v>
      </c>
      <c r="M54" s="75"/>
      <c r="N54" s="74"/>
    </row>
    <row r="55" spans="1:14" s="66" customFormat="1" ht="12.75" customHeight="1">
      <c r="A55" s="77" t="s">
        <v>79</v>
      </c>
      <c r="B55" s="78"/>
      <c r="C55" s="35">
        <f>'05_prod'!J53/1000</f>
        <v>5544.44715156305</v>
      </c>
      <c r="D55" s="35">
        <f>'06_prod_udv'!H53/1000</f>
        <v>5802.044542548822</v>
      </c>
      <c r="E55" s="35">
        <f>'06_prod_tvær'!G53/1000</f>
        <v>5857.450061397585</v>
      </c>
      <c r="F55" s="79">
        <f>'05_dtd'!H53/1000</f>
        <v>4976.370900908027</v>
      </c>
      <c r="G55" s="35">
        <f>'06_dtd'!H53/1000</f>
        <v>5169.5378195730145</v>
      </c>
      <c r="H55" s="80">
        <f t="shared" si="1"/>
        <v>4.6460428595329395</v>
      </c>
      <c r="I55" s="81">
        <f t="shared" si="2"/>
        <v>3.8816825054125426</v>
      </c>
      <c r="J55" s="59">
        <f t="shared" si="3"/>
        <v>0.7357989740689463</v>
      </c>
      <c r="K55" s="82">
        <f t="shared" si="5"/>
        <v>103.12001175846903</v>
      </c>
      <c r="L55" s="82">
        <f t="shared" si="0"/>
        <v>104.06851372117075</v>
      </c>
      <c r="M55" s="75"/>
      <c r="N55" s="74"/>
    </row>
    <row r="56" spans="1:14" ht="12.75" customHeight="1">
      <c r="A56" s="27" t="s">
        <v>46</v>
      </c>
      <c r="B56" s="73">
        <v>7601</v>
      </c>
      <c r="C56" s="34">
        <f>'05_prod'!J54/1000</f>
        <v>1222.250987921529</v>
      </c>
      <c r="D56" s="34">
        <f>'06_prod_udv'!H54/1000</f>
        <v>1316.473002061506</v>
      </c>
      <c r="E56" s="34">
        <f>'06_prod_tvær'!G54/1000</f>
        <v>1328.1226081527457</v>
      </c>
      <c r="F56" s="52">
        <f>'05_dtd'!H54/1000</f>
        <v>1143.175385279221</v>
      </c>
      <c r="G56" s="34">
        <f>'06_dtd'!H54/1000</f>
        <v>1192.2346229616467</v>
      </c>
      <c r="H56" s="53">
        <f t="shared" si="1"/>
        <v>7.708892450985361</v>
      </c>
      <c r="I56" s="54">
        <f t="shared" si="2"/>
        <v>4.2914882802906895</v>
      </c>
      <c r="J56" s="58">
        <f t="shared" si="3"/>
        <v>3.2767814776122117</v>
      </c>
      <c r="K56" s="74">
        <f t="shared" si="5"/>
        <v>101.3823878664621</v>
      </c>
      <c r="L56" s="74">
        <f t="shared" si="0"/>
        <v>99.86685609030435</v>
      </c>
      <c r="M56" s="75"/>
      <c r="N56" s="74"/>
    </row>
    <row r="57" spans="1:14" ht="12.75" customHeight="1">
      <c r="A57" s="27" t="s">
        <v>47</v>
      </c>
      <c r="B57" s="73">
        <v>7603</v>
      </c>
      <c r="C57" s="34">
        <f>'05_prod'!J55/1000</f>
        <v>309.3583770953013</v>
      </c>
      <c r="D57" s="34">
        <f>'06_prod_udv'!H55/1000</f>
        <v>325.6380701140447</v>
      </c>
      <c r="E57" s="34">
        <f>'06_prod_tvær'!G55/1000</f>
        <v>329.0843849737727</v>
      </c>
      <c r="F57" s="52">
        <f>'05_dtd'!H55/1000</f>
        <v>328.78715054788347</v>
      </c>
      <c r="G57" s="34">
        <f>'06_dtd'!H55/1000</f>
        <v>338.23546549226637</v>
      </c>
      <c r="H57" s="53">
        <f t="shared" si="1"/>
        <v>5.262405748181265</v>
      </c>
      <c r="I57" s="54">
        <f t="shared" si="2"/>
        <v>2.8736874079897667</v>
      </c>
      <c r="J57" s="58">
        <f t="shared" si="3"/>
        <v>2.3219915610859676</v>
      </c>
      <c r="K57" s="74">
        <f t="shared" si="5"/>
        <v>88.5470727025985</v>
      </c>
      <c r="L57" s="74">
        <f t="shared" si="0"/>
        <v>87.88624112064409</v>
      </c>
      <c r="M57" s="75"/>
      <c r="N57" s="74"/>
    </row>
    <row r="58" spans="1:14" s="66" customFormat="1" ht="12.75" customHeight="1">
      <c r="A58" s="77" t="s">
        <v>80</v>
      </c>
      <c r="B58" s="78"/>
      <c r="C58" s="35">
        <f>'05_prod'!J56/1000</f>
        <v>1531.6093650168302</v>
      </c>
      <c r="D58" s="35">
        <f>'06_prod_udv'!H56/1000</f>
        <v>1642.1110721755508</v>
      </c>
      <c r="E58" s="35">
        <f>'06_prod_tvær'!G56/1000</f>
        <v>1657.2069931265185</v>
      </c>
      <c r="F58" s="79">
        <f>'05_dtd'!H56/1000</f>
        <v>1471.9625358271044</v>
      </c>
      <c r="G58" s="35">
        <f>'06_dtd'!H56/1000</f>
        <v>1530.4700884539131</v>
      </c>
      <c r="H58" s="80">
        <f t="shared" si="1"/>
        <v>7.2147448091312905</v>
      </c>
      <c r="I58" s="81">
        <f t="shared" si="2"/>
        <v>3.974799032091747</v>
      </c>
      <c r="J58" s="83">
        <f t="shared" si="3"/>
        <v>3.1160875589089088</v>
      </c>
      <c r="K58" s="84">
        <f t="shared" si="5"/>
        <v>98.54576999856569</v>
      </c>
      <c r="L58" s="82">
        <f t="shared" si="0"/>
        <v>97.19078780608507</v>
      </c>
      <c r="M58" s="75"/>
      <c r="N58" s="74"/>
    </row>
    <row r="59" spans="1:14" s="66" customFormat="1" ht="12.75" customHeight="1">
      <c r="A59" s="27" t="s">
        <v>48</v>
      </c>
      <c r="B59" s="28">
        <v>8001</v>
      </c>
      <c r="C59" s="34">
        <f>'05_prod'!J57/1000</f>
        <v>2136.196531128951</v>
      </c>
      <c r="D59" s="34">
        <f>'06_prod_udv'!H57/1000</f>
        <v>2265.2591751673717</v>
      </c>
      <c r="E59" s="34">
        <f>'06_prod_tvær'!G57/1000</f>
        <v>2275.2041261933573</v>
      </c>
      <c r="F59" s="52">
        <f>'05_dtd'!H57/1000</f>
        <v>2157.2653389999996</v>
      </c>
      <c r="G59" s="34">
        <f>'06_dtd'!H57/1000</f>
        <v>2225.4339885901272</v>
      </c>
      <c r="H59" s="53">
        <f t="shared" si="1"/>
        <v>6.041702725273734</v>
      </c>
      <c r="I59" s="54">
        <f>(G59/F59-1)*100</f>
        <v>3.1599566524221467</v>
      </c>
      <c r="J59" s="55">
        <f t="shared" si="3"/>
        <v>2.793473520506695</v>
      </c>
      <c r="K59" s="56">
        <f t="shared" si="5"/>
        <v>93.04471846809159</v>
      </c>
      <c r="L59" s="82">
        <f>(C59/F59)/($C$64/$F$64)*100</f>
        <v>92.49355791768792</v>
      </c>
      <c r="M59" s="75"/>
      <c r="N59" s="74"/>
    </row>
    <row r="60" spans="1:14" s="66" customFormat="1" ht="12.75" customHeight="1">
      <c r="A60" s="27" t="s">
        <v>49</v>
      </c>
      <c r="B60" s="28">
        <v>8003</v>
      </c>
      <c r="C60" s="34">
        <f>'05_prod'!J58/1000</f>
        <v>654.8724028258077</v>
      </c>
      <c r="D60" s="34">
        <f>'06_prod_udv'!H58/1000</f>
        <v>686.4566150528901</v>
      </c>
      <c r="E60" s="34">
        <f>'06_prod_tvær'!G58/1000</f>
        <v>687.1581467575223</v>
      </c>
      <c r="F60" s="52">
        <f>'05_dtd'!H58/1000</f>
        <v>673.2271959999999</v>
      </c>
      <c r="G60" s="34">
        <f>'06_dtd'!H58/1000</f>
        <v>689.0055369984958</v>
      </c>
      <c r="H60" s="53">
        <f t="shared" si="1"/>
        <v>4.822956669237377</v>
      </c>
      <c r="I60" s="54">
        <f>(G60/F60-1)*100</f>
        <v>2.3436874048231138</v>
      </c>
      <c r="J60" s="55">
        <f t="shared" si="3"/>
        <v>2.4224935873254694</v>
      </c>
      <c r="K60" s="56">
        <f t="shared" si="5"/>
        <v>90.76534523351441</v>
      </c>
      <c r="L60" s="82">
        <f>(C60/F60)/($C$64/$F$64)*100</f>
        <v>90.85919469715357</v>
      </c>
      <c r="M60" s="75"/>
      <c r="N60" s="74"/>
    </row>
    <row r="61" spans="1:14" s="66" customFormat="1" ht="12.75" customHeight="1">
      <c r="A61" s="30" t="s">
        <v>50</v>
      </c>
      <c r="B61" s="31">
        <v>8005</v>
      </c>
      <c r="C61" s="34">
        <f>'05_prod'!J59/1000</f>
        <v>153.93285254387254</v>
      </c>
      <c r="D61" s="34">
        <f>'06_prod_udv'!H59/1000</f>
        <v>162.73613497217468</v>
      </c>
      <c r="E61" s="34">
        <f>'06_prod_tvær'!G59/1000</f>
        <v>162.75009671416942</v>
      </c>
      <c r="F61" s="52">
        <f>'05_dtd'!H59/1000</f>
        <v>173.183717</v>
      </c>
      <c r="G61" s="34">
        <f>'06_dtd'!H59/1000</f>
        <v>173.83197546479585</v>
      </c>
      <c r="H61" s="53">
        <f t="shared" si="1"/>
        <v>5.718910734661464</v>
      </c>
      <c r="I61" s="54">
        <f>(G61/F61-1)*100</f>
        <v>0.3743183689699059</v>
      </c>
      <c r="J61" s="55">
        <f t="shared" si="3"/>
        <v>5.3246611808064115</v>
      </c>
      <c r="K61" s="56">
        <f t="shared" si="5"/>
        <v>85.2074691200569</v>
      </c>
      <c r="L61" s="82">
        <f>(C61/F61)/($C$64/$F$64)*100</f>
        <v>83.02293964211913</v>
      </c>
      <c r="M61" s="75"/>
      <c r="N61" s="74"/>
    </row>
    <row r="62" spans="1:14" s="66" customFormat="1" ht="12.75" customHeight="1">
      <c r="A62" s="30" t="s">
        <v>51</v>
      </c>
      <c r="B62" s="31">
        <v>8040</v>
      </c>
      <c r="C62" s="34">
        <f>'05_prod'!J60/1000</f>
        <v>498.5268368805722</v>
      </c>
      <c r="D62" s="34">
        <f>'06_prod_udv'!H60/1000</f>
        <v>506.6227795983891</v>
      </c>
      <c r="E62" s="34">
        <f>'06_prod_tvær'!G60/1000</f>
        <v>507.53947345153637</v>
      </c>
      <c r="F62" s="52">
        <f>'05_dtd'!H60/1000</f>
        <v>507.92576799999995</v>
      </c>
      <c r="G62" s="34">
        <f>'06_dtd'!H60/1000</f>
        <v>504.7411378727331</v>
      </c>
      <c r="H62" s="53">
        <f t="shared" si="1"/>
        <v>1.6239732987045619</v>
      </c>
      <c r="I62" s="54">
        <f>(G62/F62-1)*100</f>
        <v>-0.6269873134821635</v>
      </c>
      <c r="J62" s="55">
        <f t="shared" si="3"/>
        <v>2.2651628961754433</v>
      </c>
      <c r="K62" s="56">
        <f t="shared" si="5"/>
        <v>91.51392836928392</v>
      </c>
      <c r="L62" s="82">
        <f>(C62/F62)/($C$64/$F$64)*100</f>
        <v>91.67736921580664</v>
      </c>
      <c r="M62" s="75"/>
      <c r="N62" s="74"/>
    </row>
    <row r="63" spans="1:14" s="92" customFormat="1" ht="12.75" customHeight="1">
      <c r="A63" s="85" t="s">
        <v>81</v>
      </c>
      <c r="B63" s="86"/>
      <c r="C63" s="37">
        <f>'05_prod'!J61/1000</f>
        <v>3443.5286233792035</v>
      </c>
      <c r="D63" s="37">
        <f>'06_prod_udv'!H61/1000</f>
        <v>3621.0747047908244</v>
      </c>
      <c r="E63" s="37">
        <f>'06_prod_tvær'!G61/1000</f>
        <v>3632.6518431165846</v>
      </c>
      <c r="F63" s="87">
        <f>'05_dtd'!H61/1000</f>
        <v>3511.6020199999994</v>
      </c>
      <c r="G63" s="37">
        <f>'06_dtd'!H61/1000</f>
        <v>3593.0126389261522</v>
      </c>
      <c r="H63" s="88">
        <f t="shared" si="1"/>
        <v>5.155934531985729</v>
      </c>
      <c r="I63" s="89">
        <f t="shared" si="2"/>
        <v>2.3183327285519972</v>
      </c>
      <c r="J63" s="90">
        <f>((D63/G63)/(C63/F63)-1)*100</f>
        <v>2.773307312348239</v>
      </c>
      <c r="K63" s="91">
        <f t="shared" si="5"/>
        <v>92.013406189348</v>
      </c>
      <c r="L63" s="82">
        <f>(C63/F63)/($C$64/$F$64)*100</f>
        <v>91.59510248375098</v>
      </c>
      <c r="M63" s="75"/>
      <c r="N63" s="74"/>
    </row>
    <row r="64" spans="1:14" s="66" customFormat="1" ht="12.75" customHeight="1">
      <c r="A64" s="66" t="str">
        <f>'05_skema1-7'!A62</f>
        <v>Hele landet</v>
      </c>
      <c r="C64" s="35">
        <f>'05_prod'!J62/1000</f>
        <v>41655.83204123297</v>
      </c>
      <c r="D64" s="35">
        <f>'06_prod_udv'!H62/1000</f>
        <v>43575.057888014846</v>
      </c>
      <c r="E64" s="35">
        <f>'06_prod_tvær'!G62/1000</f>
        <v>43906.037478014856</v>
      </c>
      <c r="F64" s="79">
        <f>'05_dtd'!H62/1000</f>
        <v>38908.96328748204</v>
      </c>
      <c r="G64" s="35">
        <f>'06_dtd'!H62/1000-0.4</f>
        <v>39958.605165812805</v>
      </c>
      <c r="H64" s="80">
        <f t="shared" si="1"/>
        <v>4.60734008357373</v>
      </c>
      <c r="I64" s="81">
        <f t="shared" si="2"/>
        <v>2.6976865730793165</v>
      </c>
      <c r="J64" s="83">
        <f t="shared" si="3"/>
        <v>1.8594902905972432</v>
      </c>
      <c r="K64" s="93">
        <f>(E64/G64)/(E64/G64)*100</f>
        <v>100</v>
      </c>
      <c r="N64" s="74"/>
    </row>
    <row r="65" spans="1:2" ht="12.75">
      <c r="A65" s="66"/>
      <c r="B65" s="73"/>
    </row>
    <row r="66" spans="1:11" ht="12.75">
      <c r="A66" s="94" t="str">
        <f>'05_skema1-7'!A67</f>
        <v>Regioner</v>
      </c>
      <c r="B66" s="95"/>
      <c r="C66" s="96"/>
      <c r="D66" s="96"/>
      <c r="E66" s="97"/>
      <c r="F66" s="96"/>
      <c r="G66" s="96"/>
      <c r="H66" s="96"/>
      <c r="I66" s="96"/>
      <c r="J66" s="96"/>
      <c r="K66" s="95"/>
    </row>
    <row r="67" spans="1:11" ht="12" customHeight="1">
      <c r="A67" s="66" t="str">
        <f>'05_skema1-7'!A68</f>
        <v>Hovedstaden</v>
      </c>
      <c r="B67" s="73"/>
      <c r="C67" s="36">
        <f>'05_prod'!J68/1000</f>
        <v>14487.628425873292</v>
      </c>
      <c r="D67" s="36">
        <f>'06_prod_udv'!H68/1000</f>
        <v>15141.997745840536</v>
      </c>
      <c r="E67" s="36">
        <f>'06_prod_tvær'!G68/1000</f>
        <v>15259.69652261139</v>
      </c>
      <c r="F67" s="52">
        <f>'05_dtd'!H68/1000</f>
        <v>13687.345386467385</v>
      </c>
      <c r="G67" s="36">
        <f>'06_dtd'!H68/1000</f>
        <v>14043.369911002928</v>
      </c>
      <c r="H67" s="53">
        <f>(D67/C67-1)*100</f>
        <v>4.516745603432315</v>
      </c>
      <c r="I67" s="98">
        <f>(G67/F67-1)*100</f>
        <v>2.6011217988810564</v>
      </c>
      <c r="J67" s="98">
        <f>((D67/G67)/(C67/F67)-1)*100</f>
        <v>1.8670593176420391</v>
      </c>
      <c r="K67" s="56">
        <f>(E67/G67)/($E$64/$G$64)*100</f>
        <v>98.89188091689756</v>
      </c>
    </row>
    <row r="68" spans="1:11" ht="12" customHeight="1">
      <c r="A68" s="66" t="str">
        <f>'05_skema1-7'!A69</f>
        <v>Sjælland</v>
      </c>
      <c r="B68" s="73"/>
      <c r="C68" s="36">
        <f>'05_prod'!J69/1000</f>
        <v>5153.272145718778</v>
      </c>
      <c r="D68" s="36">
        <f>'06_prod_udv'!H69/1000</f>
        <v>5422.827186333236</v>
      </c>
      <c r="E68" s="36">
        <f>'06_prod_tvær'!G69/1000</f>
        <v>5458.988770898241</v>
      </c>
      <c r="F68" s="52">
        <f>'05_dtd'!H69/1000</f>
        <v>4909.294210276927</v>
      </c>
      <c r="G68" s="36">
        <f>'06_dtd'!H69/1000</f>
        <v>5085.019938940155</v>
      </c>
      <c r="H68" s="53">
        <f>(D68/C68-1)*100</f>
        <v>5.230755003661081</v>
      </c>
      <c r="I68" s="98">
        <f>(G68/F68-1)*100</f>
        <v>3.5794499399806057</v>
      </c>
      <c r="J68" s="98">
        <f>((D68/G68)/(C68/F68)-1)*100</f>
        <v>1.5942400395419387</v>
      </c>
      <c r="K68" s="56">
        <f>(E68/G68)/($E$64/$G$64)*100</f>
        <v>97.7024865883899</v>
      </c>
    </row>
    <row r="69" spans="1:11" ht="12" customHeight="1">
      <c r="A69" s="66" t="str">
        <f>'05_skema1-7'!A70</f>
        <v>Syddanmark</v>
      </c>
      <c r="C69" s="36">
        <f>'05_prod'!J70/1000</f>
        <v>9316.332258652561</v>
      </c>
      <c r="D69" s="36">
        <f>'06_prod_udv'!H70/1000</f>
        <v>9689.199619624487</v>
      </c>
      <c r="E69" s="36">
        <f>'06_prod_tvær'!G70/1000</f>
        <v>9759.482659479003</v>
      </c>
      <c r="F69" s="52">
        <f>'05_dtd'!H70/1000</f>
        <v>8402.738679489516</v>
      </c>
      <c r="G69" s="36">
        <f>'06_dtd'!H70/1000</f>
        <v>8560.248884274666</v>
      </c>
      <c r="H69" s="53">
        <f>(D69/C69-1)*100</f>
        <v>4.002297799390142</v>
      </c>
      <c r="I69" s="98">
        <f>(G69/F69-1)*100</f>
        <v>1.8745103327992618</v>
      </c>
      <c r="J69" s="98">
        <f>((D69/G69)/(C69/F69)-1)*100</f>
        <v>2.08863577320757</v>
      </c>
      <c r="K69" s="56">
        <f>(E69/G69)/($E$64/$G$64)*100</f>
        <v>103.75916811947403</v>
      </c>
    </row>
    <row r="70" spans="1:11" ht="12" customHeight="1">
      <c r="A70" s="66" t="str">
        <f>'05_skema1-7'!A71</f>
        <v>Midtjylland</v>
      </c>
      <c r="B70" s="73"/>
      <c r="C70" s="36">
        <f>'05_prod'!J71/1000</f>
        <v>8945.712210513837</v>
      </c>
      <c r="D70" s="36">
        <f>'06_prod_udv'!H71/1000</f>
        <v>9374.320561311719</v>
      </c>
      <c r="E70" s="36">
        <f>'06_prod_tvær'!G71/1000</f>
        <v>9466.13329693587</v>
      </c>
      <c r="F70" s="52">
        <f>'05_dtd'!H71/1000</f>
        <v>8069.195840700318</v>
      </c>
      <c r="G70" s="36">
        <f>'06_dtd'!H71/1000</f>
        <v>8339.118327176644</v>
      </c>
      <c r="H70" s="53">
        <f>(D70/C70-1)*100</f>
        <v>4.791215508745528</v>
      </c>
      <c r="I70" s="98">
        <f>(G70/F70-1)*100</f>
        <v>3.3450977247926117</v>
      </c>
      <c r="J70" s="98">
        <f>((D70/G70)/(C70/F70)-1)*100</f>
        <v>1.3993095132619926</v>
      </c>
      <c r="K70" s="56">
        <f>(E70/G70)/($E$64/$G$64)*100</f>
        <v>103.30909463250305</v>
      </c>
    </row>
    <row r="71" spans="1:11" ht="12" customHeight="1">
      <c r="A71" s="66" t="str">
        <f>'05_skema1-7'!A72</f>
        <v>Nordjylland</v>
      </c>
      <c r="B71" s="73"/>
      <c r="C71" s="36">
        <f>'05_prod'!J72/1000</f>
        <v>3752.8870004745045</v>
      </c>
      <c r="D71" s="36">
        <f>'06_prod_udv'!H72/1000</f>
        <v>3946.7127749048695</v>
      </c>
      <c r="E71" s="36">
        <f>'06_prod_tvær'!G72/1000</f>
        <v>3961.7362280903576</v>
      </c>
      <c r="F71" s="52">
        <f>'05_dtd'!H72/1000</f>
        <v>3840.3891705478836</v>
      </c>
      <c r="G71" s="36">
        <f>'06_dtd'!H72/1000</f>
        <v>3931.248104418418</v>
      </c>
      <c r="H71" s="53">
        <f>(D71/C71-1)*100</f>
        <v>5.164711178510251</v>
      </c>
      <c r="I71" s="98">
        <f>(G71/F71-1)*100</f>
        <v>2.3658782960678915</v>
      </c>
      <c r="J71" s="98">
        <f>((D71/G71)/(C71/F71)-1)*100</f>
        <v>2.7341463083503603</v>
      </c>
      <c r="K71" s="56">
        <f>(E71/G71)/($E$64/$G$64)*100</f>
        <v>91.71517089884972</v>
      </c>
    </row>
    <row r="72" ht="12.75">
      <c r="B72" s="73"/>
    </row>
    <row r="74" ht="12.75">
      <c r="B74" s="73"/>
    </row>
    <row r="76" ht="12.75">
      <c r="B76" s="73"/>
    </row>
    <row r="77" ht="12.75">
      <c r="B77" s="73"/>
    </row>
    <row r="79" ht="12.75">
      <c r="B79" s="73"/>
    </row>
    <row r="80" ht="12.75">
      <c r="B80" s="73"/>
    </row>
    <row r="81" ht="12.75">
      <c r="B81" s="73"/>
    </row>
    <row r="82" ht="12.75">
      <c r="B82" s="73"/>
    </row>
    <row r="84" ht="12.75">
      <c r="B84" s="73"/>
    </row>
    <row r="86" ht="12.75">
      <c r="B86" s="73"/>
    </row>
    <row r="87" ht="12.75">
      <c r="B87" s="73"/>
    </row>
    <row r="88" ht="12.75">
      <c r="B88" s="73"/>
    </row>
    <row r="89" ht="12.75">
      <c r="B89" s="73"/>
    </row>
    <row r="90" ht="12.75">
      <c r="B90" s="73"/>
    </row>
    <row r="91" ht="12.75">
      <c r="B91" s="73"/>
    </row>
    <row r="93" ht="12.75">
      <c r="B93" s="73"/>
    </row>
    <row r="94" ht="12.75">
      <c r="B94" s="73"/>
    </row>
    <row r="95" ht="12.75">
      <c r="B95" s="73"/>
    </row>
    <row r="96" ht="12.75">
      <c r="B96" s="73"/>
    </row>
    <row r="97" ht="12.75">
      <c r="B97" s="73"/>
    </row>
    <row r="99" ht="12.75">
      <c r="B99" s="73"/>
    </row>
    <row r="100" ht="12.75">
      <c r="B100" s="73"/>
    </row>
    <row r="101" ht="12.75">
      <c r="B101" s="73"/>
    </row>
    <row r="102" ht="12.75">
      <c r="B102" s="73"/>
    </row>
    <row r="104" ht="12.75">
      <c r="B104" s="73"/>
    </row>
    <row r="105" ht="12.75">
      <c r="B105" s="73"/>
    </row>
    <row r="107" ht="12.75">
      <c r="B107" s="73"/>
    </row>
    <row r="108" ht="12.75">
      <c r="B108" s="73"/>
    </row>
    <row r="109" ht="12.75">
      <c r="B109" s="73"/>
    </row>
    <row r="110" ht="12.75">
      <c r="B110" s="73"/>
    </row>
    <row r="112" ht="12.75">
      <c r="B112" s="73"/>
    </row>
    <row r="113" ht="12.75">
      <c r="B113" s="73"/>
    </row>
    <row r="114" ht="12.75">
      <c r="B114" s="73"/>
    </row>
    <row r="115" ht="12.75">
      <c r="B115" s="73"/>
    </row>
    <row r="116" ht="12.75">
      <c r="B116" s="73"/>
    </row>
    <row r="118" ht="12.75">
      <c r="B118" s="73"/>
    </row>
    <row r="120" ht="12.75">
      <c r="B120" s="73"/>
    </row>
    <row r="121" ht="12.75">
      <c r="B121" s="73"/>
    </row>
    <row r="122" ht="12.75">
      <c r="B122" s="73"/>
    </row>
    <row r="123" ht="12.75">
      <c r="B123" s="73"/>
    </row>
    <row r="125" ht="12.75">
      <c r="B125" s="73"/>
    </row>
    <row r="126" ht="12.75">
      <c r="B126" s="73"/>
    </row>
    <row r="127" ht="12.75">
      <c r="B127" s="73"/>
    </row>
    <row r="128" ht="12.75">
      <c r="B128" s="73"/>
    </row>
    <row r="129" ht="12.75">
      <c r="B129" s="73"/>
    </row>
    <row r="130" ht="12.75">
      <c r="B130" s="73"/>
    </row>
    <row r="131" ht="12.75">
      <c r="B131" s="73"/>
    </row>
    <row r="132" ht="12.75">
      <c r="B132" s="73"/>
    </row>
    <row r="133" ht="12.75">
      <c r="B133" s="73"/>
    </row>
    <row r="134" ht="12.75">
      <c r="B134" s="73"/>
    </row>
    <row r="135" ht="12.75">
      <c r="B135" s="73"/>
    </row>
    <row r="136" ht="12.75">
      <c r="B136" s="73"/>
    </row>
    <row r="138" ht="12.75">
      <c r="B138" s="73"/>
    </row>
    <row r="139" ht="12.75">
      <c r="B139" s="73"/>
    </row>
    <row r="141" ht="12.75">
      <c r="B141" s="73"/>
    </row>
    <row r="142" ht="12.75">
      <c r="B142" s="73"/>
    </row>
    <row r="143" ht="12.75">
      <c r="B143" s="73"/>
    </row>
    <row r="144" ht="12.75">
      <c r="B144" s="73"/>
    </row>
    <row r="145" ht="12.75">
      <c r="B145" s="73"/>
    </row>
    <row r="147" ht="12.75">
      <c r="B147" s="73"/>
    </row>
    <row r="148" ht="12.75">
      <c r="B148" s="73"/>
    </row>
    <row r="149" ht="12.75">
      <c r="B149" s="73"/>
    </row>
    <row r="150" ht="12.75">
      <c r="B150" s="73"/>
    </row>
    <row r="152" ht="12.75">
      <c r="B152" s="73"/>
    </row>
    <row r="154" ht="12.75">
      <c r="B154" s="73"/>
    </row>
    <row r="155" ht="12.75">
      <c r="B155" s="73"/>
    </row>
    <row r="156" ht="12.75">
      <c r="B156" s="73"/>
    </row>
    <row r="157" ht="12.75">
      <c r="B157" s="73"/>
    </row>
    <row r="158" ht="12.75">
      <c r="B158" s="73"/>
    </row>
    <row r="159" ht="12.75">
      <c r="B159" s="73"/>
    </row>
    <row r="160" ht="12.75">
      <c r="B160" s="73"/>
    </row>
    <row r="161" ht="12.75">
      <c r="B161" s="73"/>
    </row>
    <row r="162" ht="12.75">
      <c r="B162" s="73"/>
    </row>
    <row r="163" ht="12.75">
      <c r="B163" s="73"/>
    </row>
    <row r="164" ht="12.75">
      <c r="B164" s="73"/>
    </row>
    <row r="166" ht="12.75">
      <c r="B166" s="73"/>
    </row>
    <row r="167" ht="12.75">
      <c r="B167" s="73"/>
    </row>
    <row r="169" ht="12.75">
      <c r="B169" s="73"/>
    </row>
    <row r="170" ht="12.75">
      <c r="B170" s="73"/>
    </row>
    <row r="171" ht="12.75">
      <c r="B171" s="73"/>
    </row>
    <row r="172" ht="12.75">
      <c r="B172" s="73"/>
    </row>
    <row r="174" ht="12.75">
      <c r="B174" s="73"/>
    </row>
    <row r="176" ht="12.75">
      <c r="B176" s="73"/>
    </row>
    <row r="177" ht="12.75">
      <c r="B177" s="73"/>
    </row>
    <row r="178" ht="12.75">
      <c r="B178" s="73"/>
    </row>
    <row r="179" ht="12.75">
      <c r="B179" s="73"/>
    </row>
    <row r="181" ht="12.75">
      <c r="B181" s="73"/>
    </row>
    <row r="182" ht="12.75">
      <c r="B182" s="73"/>
    </row>
    <row r="183" ht="12.75">
      <c r="B183" s="73"/>
    </row>
    <row r="184" ht="12.75">
      <c r="B184" s="73"/>
    </row>
    <row r="185" ht="12.75">
      <c r="B185" s="73"/>
    </row>
    <row r="186" ht="12.75">
      <c r="B186" s="73"/>
    </row>
    <row r="187" ht="12.75">
      <c r="B187" s="73"/>
    </row>
    <row r="188" ht="12.75">
      <c r="B188" s="73"/>
    </row>
    <row r="189" ht="12.75">
      <c r="B189" s="73"/>
    </row>
    <row r="190" ht="12.75">
      <c r="B190" s="73"/>
    </row>
    <row r="192" ht="12.75">
      <c r="B192" s="73"/>
    </row>
    <row r="193" ht="12.75">
      <c r="B193" s="73"/>
    </row>
    <row r="194" ht="12.75">
      <c r="B194" s="73"/>
    </row>
    <row r="195" ht="12.75">
      <c r="B195" s="73"/>
    </row>
    <row r="196" ht="12.75">
      <c r="B196" s="73"/>
    </row>
    <row r="198" ht="12.75">
      <c r="B198" s="73"/>
    </row>
    <row r="199" ht="12.75">
      <c r="B199" s="73"/>
    </row>
    <row r="200" ht="12.75">
      <c r="B200" s="73"/>
    </row>
    <row r="202" ht="12.75">
      <c r="B202" s="73"/>
    </row>
    <row r="204" ht="12.75">
      <c r="B204" s="73"/>
    </row>
    <row r="206" ht="12.75">
      <c r="B206" s="73"/>
    </row>
    <row r="207" ht="12.75">
      <c r="B207" s="73"/>
    </row>
    <row r="208" ht="12.75">
      <c r="B208" s="73"/>
    </row>
    <row r="209" ht="12.75">
      <c r="B209" s="73"/>
    </row>
    <row r="211" ht="12.75">
      <c r="B211" s="73"/>
    </row>
    <row r="212" ht="12.75">
      <c r="B212" s="73"/>
    </row>
    <row r="214" ht="12.75">
      <c r="B214" s="73"/>
    </row>
    <row r="216" ht="12.75">
      <c r="B216" s="73"/>
    </row>
  </sheetData>
  <sheetProtection/>
  <mergeCells count="8">
    <mergeCell ref="K3:K4"/>
    <mergeCell ref="H3:J3"/>
    <mergeCell ref="B3:B5"/>
    <mergeCell ref="C3:E4"/>
    <mergeCell ref="F3:G4"/>
    <mergeCell ref="H4:H5"/>
    <mergeCell ref="I4:I5"/>
    <mergeCell ref="J4:J5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  <headerFooter alignWithMargins="0">
    <oddFooter>&amp;C&amp;P af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J42" sqref="J42"/>
    </sheetView>
  </sheetViews>
  <sheetFormatPr defaultColWidth="8.8515625" defaultRowHeight="12.75"/>
  <cols>
    <col min="1" max="1" width="22.28125" style="99" customWidth="1"/>
    <col min="2" max="2" width="8.140625" style="99" customWidth="1"/>
    <col min="3" max="9" width="10.00390625" style="42" customWidth="1"/>
    <col min="10" max="10" width="13.8515625" style="102" customWidth="1"/>
    <col min="11" max="16384" width="8.8515625" style="42" customWidth="1"/>
  </cols>
  <sheetData>
    <row r="1" spans="1:10" s="41" customFormat="1" ht="12.75" customHeight="1">
      <c r="A1" s="18" t="s">
        <v>59</v>
      </c>
      <c r="B1" s="18"/>
      <c r="C1" s="19"/>
      <c r="J1" s="33"/>
    </row>
    <row r="2" spans="4:10" ht="12.75" customHeight="1">
      <c r="D2" s="1"/>
      <c r="E2" s="1"/>
      <c r="F2" s="1"/>
      <c r="G2" s="1"/>
      <c r="H2" s="1"/>
      <c r="I2" s="1"/>
      <c r="J2" s="2"/>
    </row>
    <row r="3" spans="1:10" ht="72" customHeight="1">
      <c r="A3" s="3" t="s">
        <v>1</v>
      </c>
      <c r="B3" s="4" t="s">
        <v>66</v>
      </c>
      <c r="C3" s="4" t="s">
        <v>2</v>
      </c>
      <c r="D3" s="4" t="s">
        <v>3</v>
      </c>
      <c r="E3" s="4" t="s">
        <v>4</v>
      </c>
      <c r="F3" s="5" t="s">
        <v>5</v>
      </c>
      <c r="G3" s="4" t="s">
        <v>6</v>
      </c>
      <c r="H3" s="4" t="s">
        <v>7</v>
      </c>
      <c r="I3" s="4" t="s">
        <v>8</v>
      </c>
      <c r="J3" s="5" t="s">
        <v>54</v>
      </c>
    </row>
    <row r="4" spans="1:10" ht="12.75" customHeight="1">
      <c r="A4" s="27" t="s">
        <v>9</v>
      </c>
      <c r="B4" s="28">
        <v>1301</v>
      </c>
      <c r="C4" s="2">
        <v>2238478.977</v>
      </c>
      <c r="D4" s="2">
        <v>0</v>
      </c>
      <c r="E4" s="2">
        <v>103964.219</v>
      </c>
      <c r="F4" s="11">
        <v>35399.877</v>
      </c>
      <c r="G4" s="2">
        <v>17546.537999999997</v>
      </c>
      <c r="H4" s="2">
        <v>-1843052.775</v>
      </c>
      <c r="I4" s="2">
        <v>0</v>
      </c>
      <c r="J4" s="6">
        <f>((C4+D4+E4)-(F4+G4+H4+I4))</f>
        <v>4132549.556</v>
      </c>
    </row>
    <row r="5" spans="1:10" ht="12.75" customHeight="1">
      <c r="A5" s="27" t="s">
        <v>10</v>
      </c>
      <c r="B5" s="28">
        <v>1309</v>
      </c>
      <c r="C5" s="2">
        <v>1227707.071</v>
      </c>
      <c r="D5" s="2">
        <v>0</v>
      </c>
      <c r="E5" s="2">
        <v>17711.818</v>
      </c>
      <c r="F5" s="6">
        <v>104209.04</v>
      </c>
      <c r="G5" s="2">
        <v>3280.8079999999995</v>
      </c>
      <c r="H5" s="2">
        <v>-21467.805999999997</v>
      </c>
      <c r="I5" s="2">
        <v>-3847.9249999999997</v>
      </c>
      <c r="J5" s="6">
        <f>((C5+D5+E5)-(F5+G5+H5+I5))</f>
        <v>1163244.7719999999</v>
      </c>
    </row>
    <row r="6" spans="1:10" ht="12.75" customHeight="1">
      <c r="A6" s="27" t="s">
        <v>11</v>
      </c>
      <c r="B6" s="28">
        <v>1330</v>
      </c>
      <c r="C6" s="2">
        <v>1221301.4379999998</v>
      </c>
      <c r="D6" s="2">
        <v>0</v>
      </c>
      <c r="E6" s="2">
        <v>20000.946</v>
      </c>
      <c r="F6" s="6">
        <v>194264.947</v>
      </c>
      <c r="G6" s="2">
        <v>5649.477</v>
      </c>
      <c r="H6" s="2">
        <v>-432227.86</v>
      </c>
      <c r="I6" s="2">
        <v>9968.45</v>
      </c>
      <c r="J6" s="6">
        <f>((C6+D6+E6)-(F6+G6+H6+I6))</f>
        <v>1463647.3699999999</v>
      </c>
    </row>
    <row r="7" spans="1:11" ht="12.75" customHeight="1">
      <c r="A7" s="27" t="s">
        <v>12</v>
      </c>
      <c r="B7" s="28">
        <v>1351</v>
      </c>
      <c r="C7" s="2">
        <v>396909.075566</v>
      </c>
      <c r="D7" s="2">
        <v>0</v>
      </c>
      <c r="E7" s="2">
        <v>1340.859825</v>
      </c>
      <c r="F7" s="6">
        <v>21719.280552999997</v>
      </c>
      <c r="G7" s="2">
        <v>287.374402</v>
      </c>
      <c r="H7" s="2">
        <v>18493.93329</v>
      </c>
      <c r="I7" s="2">
        <v>0</v>
      </c>
      <c r="J7" s="6">
        <f>((C7+D7+E7)-(F7+G7+H7+I7))</f>
        <v>357749.347146</v>
      </c>
      <c r="K7" s="42">
        <f>C10/C7*100</f>
        <v>56.006240249609974</v>
      </c>
    </row>
    <row r="8" spans="1:10" ht="12.75" customHeight="1">
      <c r="A8" s="27" t="s">
        <v>13</v>
      </c>
      <c r="B8" s="28">
        <v>1401</v>
      </c>
      <c r="C8" s="2">
        <v>630825.2089999999</v>
      </c>
      <c r="D8" s="2">
        <v>0</v>
      </c>
      <c r="E8" s="2">
        <v>8079.092999999999</v>
      </c>
      <c r="F8" s="6">
        <v>39319.079</v>
      </c>
      <c r="G8" s="2">
        <v>0</v>
      </c>
      <c r="H8" s="2">
        <v>-58106.25</v>
      </c>
      <c r="I8" s="38">
        <v>-6120.525</v>
      </c>
      <c r="J8" s="6">
        <f>((C8+D8+E8)-(F8+G8+H8+I8))</f>
        <v>663811.9979999999</v>
      </c>
    </row>
    <row r="9" spans="1:10" s="41" customFormat="1" ht="12.75" customHeight="1">
      <c r="A9" s="29" t="s">
        <v>72</v>
      </c>
      <c r="B9" s="26"/>
      <c r="C9" s="13">
        <f aca="true" t="shared" si="0" ref="C9:J9">SUM(C4:C8)</f>
        <v>5715221.770566</v>
      </c>
      <c r="D9" s="13">
        <f t="shared" si="0"/>
        <v>0</v>
      </c>
      <c r="E9" s="13">
        <f t="shared" si="0"/>
        <v>151096.935825</v>
      </c>
      <c r="F9" s="14">
        <f t="shared" si="0"/>
        <v>394912.2235529999</v>
      </c>
      <c r="G9" s="13">
        <f t="shared" si="0"/>
        <v>26764.197401999998</v>
      </c>
      <c r="H9" s="13">
        <f>SUM(H4:H8)</f>
        <v>-2336360.75771</v>
      </c>
      <c r="I9" s="13">
        <f t="shared" si="0"/>
        <v>0</v>
      </c>
      <c r="J9" s="14">
        <f t="shared" si="0"/>
        <v>7781003.043145999</v>
      </c>
    </row>
    <row r="10" spans="1:10" ht="12.75" customHeight="1">
      <c r="A10" s="27" t="s">
        <v>14</v>
      </c>
      <c r="B10" s="28">
        <v>1351</v>
      </c>
      <c r="C10" s="2">
        <v>222293.85043399996</v>
      </c>
      <c r="D10" s="2">
        <v>0</v>
      </c>
      <c r="E10" s="2">
        <v>750.9651749999999</v>
      </c>
      <c r="F10" s="6">
        <v>12164.152446999999</v>
      </c>
      <c r="G10" s="2">
        <v>160.94759799999997</v>
      </c>
      <c r="H10" s="2">
        <v>10357.75671</v>
      </c>
      <c r="I10" s="2">
        <v>0</v>
      </c>
      <c r="J10" s="6">
        <f>((C10+D10+E10)-(F10+G10+H10+I10))</f>
        <v>200361.95885399997</v>
      </c>
    </row>
    <row r="11" spans="1:10" ht="12.75" customHeight="1">
      <c r="A11" s="27" t="s">
        <v>15</v>
      </c>
      <c r="B11" s="28">
        <v>1501</v>
      </c>
      <c r="C11" s="2">
        <v>1516781.791</v>
      </c>
      <c r="D11" s="2">
        <v>3849.9909999999995</v>
      </c>
      <c r="E11" s="2">
        <v>27306.321999999996</v>
      </c>
      <c r="F11" s="6">
        <v>8373.498</v>
      </c>
      <c r="G11" s="2">
        <v>5948.013999999999</v>
      </c>
      <c r="H11" s="2">
        <v>81429.324</v>
      </c>
      <c r="I11" s="2">
        <v>-46996.335</v>
      </c>
      <c r="J11" s="6">
        <f>((C11+D11+E11)-(F11+G11+H11+I11))</f>
        <v>1499183.603</v>
      </c>
    </row>
    <row r="12" spans="1:10" ht="12.75" customHeight="1">
      <c r="A12" s="27" t="s">
        <v>16</v>
      </c>
      <c r="B12" s="28">
        <v>1502</v>
      </c>
      <c r="C12" s="2">
        <v>1316113.277</v>
      </c>
      <c r="D12" s="2">
        <v>3675.4139999999998</v>
      </c>
      <c r="E12" s="2">
        <v>23299.315</v>
      </c>
      <c r="F12" s="6">
        <v>5319.95</v>
      </c>
      <c r="G12" s="2">
        <v>0</v>
      </c>
      <c r="H12" s="2">
        <v>111788.161</v>
      </c>
      <c r="I12" s="2">
        <v>-16454.657</v>
      </c>
      <c r="J12" s="6">
        <f>((C12+D12+E12)-(F12+G12+H12+I12))</f>
        <v>1242434.5520000001</v>
      </c>
    </row>
    <row r="13" spans="1:10" ht="12.75" customHeight="1">
      <c r="A13" s="27" t="s">
        <v>17</v>
      </c>
      <c r="B13" s="28">
        <v>1516</v>
      </c>
      <c r="C13" s="2">
        <v>1949235.8779999998</v>
      </c>
      <c r="D13" s="2">
        <v>4809.647999999999</v>
      </c>
      <c r="E13" s="2">
        <v>36447.339</v>
      </c>
      <c r="F13" s="45">
        <v>1389.385</v>
      </c>
      <c r="G13" s="2">
        <v>90.904</v>
      </c>
      <c r="H13" s="2">
        <v>139067.625</v>
      </c>
      <c r="I13" s="2">
        <v>63450.992</v>
      </c>
      <c r="J13" s="6">
        <f>((C13+D13+E13)-(F13+G13+H13+I13))</f>
        <v>1786493.9589999998</v>
      </c>
    </row>
    <row r="14" spans="1:10" s="41" customFormat="1" ht="12.75" customHeight="1">
      <c r="A14" s="29" t="s">
        <v>67</v>
      </c>
      <c r="B14" s="26"/>
      <c r="C14" s="13">
        <f aca="true" t="shared" si="1" ref="C14:J14">SUM(C10:C13)</f>
        <v>5004424.796433999</v>
      </c>
      <c r="D14" s="13">
        <f t="shared" si="1"/>
        <v>12335.052999999998</v>
      </c>
      <c r="E14" s="13">
        <f t="shared" si="1"/>
        <v>87803.94117499999</v>
      </c>
      <c r="F14" s="14">
        <f t="shared" si="1"/>
        <v>27246.985447</v>
      </c>
      <c r="G14" s="13">
        <f t="shared" si="1"/>
        <v>6199.8655979999985</v>
      </c>
      <c r="H14" s="13">
        <f t="shared" si="1"/>
        <v>342642.86671</v>
      </c>
      <c r="I14" s="13">
        <f t="shared" si="1"/>
        <v>0</v>
      </c>
      <c r="J14" s="14">
        <f t="shared" si="1"/>
        <v>4728474.072853999</v>
      </c>
    </row>
    <row r="15" spans="1:10" ht="12.75" customHeight="1">
      <c r="A15" s="7" t="s">
        <v>18</v>
      </c>
      <c r="B15" s="28">
        <v>2000</v>
      </c>
      <c r="C15" s="2">
        <v>1957354.2249999999</v>
      </c>
      <c r="D15" s="2">
        <v>1074971.8229999999</v>
      </c>
      <c r="E15" s="38">
        <v>233442.50499999998</v>
      </c>
      <c r="F15" s="6">
        <v>0</v>
      </c>
      <c r="G15" s="2">
        <v>47303.136</v>
      </c>
      <c r="H15" s="2">
        <v>1065814.278</v>
      </c>
      <c r="I15" s="2">
        <v>0</v>
      </c>
      <c r="J15" s="6">
        <f>((C15+D15+E15)-(F15+G15+H15+I15))</f>
        <v>2152651.1389999995</v>
      </c>
    </row>
    <row r="16" spans="1:10" s="41" customFormat="1" ht="12.75" customHeight="1">
      <c r="A16" s="15" t="s">
        <v>68</v>
      </c>
      <c r="B16" s="26"/>
      <c r="C16" s="13">
        <f aca="true" t="shared" si="2" ref="C16:J16">SUM(C15)</f>
        <v>1957354.2249999999</v>
      </c>
      <c r="D16" s="13">
        <f t="shared" si="2"/>
        <v>1074971.8229999999</v>
      </c>
      <c r="E16" s="13">
        <f t="shared" si="2"/>
        <v>233442.50499999998</v>
      </c>
      <c r="F16" s="14">
        <f t="shared" si="2"/>
        <v>0</v>
      </c>
      <c r="G16" s="13">
        <f t="shared" si="2"/>
        <v>47303.136</v>
      </c>
      <c r="H16" s="13">
        <f t="shared" si="2"/>
        <v>1065814.278</v>
      </c>
      <c r="I16" s="13">
        <f t="shared" si="2"/>
        <v>0</v>
      </c>
      <c r="J16" s="14">
        <f t="shared" si="2"/>
        <v>2152651.1389999995</v>
      </c>
    </row>
    <row r="17" spans="1:10" ht="12.75" customHeight="1">
      <c r="A17" s="27" t="s">
        <v>19</v>
      </c>
      <c r="B17" s="28">
        <v>2501</v>
      </c>
      <c r="C17" s="2">
        <v>1020708.3329999999</v>
      </c>
      <c r="D17" s="2">
        <v>10790.717999999999</v>
      </c>
      <c r="E17" s="2">
        <v>13125.297999999999</v>
      </c>
      <c r="F17" s="6">
        <v>0</v>
      </c>
      <c r="G17" s="2">
        <v>4072.086</v>
      </c>
      <c r="H17" s="2">
        <v>73531.006</v>
      </c>
      <c r="I17" s="2">
        <v>3099</v>
      </c>
      <c r="J17" s="6">
        <f>((C17+D17+E17)-(F17+G17+H17+I17))</f>
        <v>963922.2569999999</v>
      </c>
    </row>
    <row r="18" spans="1:10" ht="12.75" customHeight="1">
      <c r="A18" s="27" t="s">
        <v>20</v>
      </c>
      <c r="B18" s="28">
        <v>2502</v>
      </c>
      <c r="C18" s="2">
        <v>608783.0549999999</v>
      </c>
      <c r="D18" s="2">
        <v>7239.263999999999</v>
      </c>
      <c r="E18" s="2">
        <v>7899.351</v>
      </c>
      <c r="F18" s="6">
        <v>0</v>
      </c>
      <c r="G18" s="2">
        <v>3014.294</v>
      </c>
      <c r="H18" s="2">
        <v>33299.788</v>
      </c>
      <c r="I18" s="2">
        <v>-2117.65</v>
      </c>
      <c r="J18" s="6">
        <f>((C18+D18+E18)-(F18+G18+H18+I18))</f>
        <v>589725.2379999999</v>
      </c>
    </row>
    <row r="19" spans="1:10" s="41" customFormat="1" ht="12.75" customHeight="1">
      <c r="A19" s="29" t="s">
        <v>69</v>
      </c>
      <c r="B19" s="26"/>
      <c r="C19" s="13">
        <f aca="true" t="shared" si="3" ref="C19:J19">SUM(C17:C18)</f>
        <v>1629491.3879999998</v>
      </c>
      <c r="D19" s="13">
        <f t="shared" si="3"/>
        <v>18029.981999999996</v>
      </c>
      <c r="E19" s="13">
        <f t="shared" si="3"/>
        <v>21024.648999999998</v>
      </c>
      <c r="F19" s="14">
        <f t="shared" si="3"/>
        <v>0</v>
      </c>
      <c r="G19" s="13">
        <f t="shared" si="3"/>
        <v>7086.379999999999</v>
      </c>
      <c r="H19" s="13">
        <f t="shared" si="3"/>
        <v>106830.794</v>
      </c>
      <c r="I19" s="13">
        <f t="shared" si="3"/>
        <v>981.3499999999999</v>
      </c>
      <c r="J19" s="14">
        <f t="shared" si="3"/>
        <v>1553647.4949999996</v>
      </c>
    </row>
    <row r="20" spans="1:10" ht="12.75" customHeight="1">
      <c r="A20" s="27" t="s">
        <v>21</v>
      </c>
      <c r="B20" s="28">
        <v>3000</v>
      </c>
      <c r="C20" s="2">
        <v>1956069.173</v>
      </c>
      <c r="D20" s="2">
        <v>15341.082999999999</v>
      </c>
      <c r="E20" s="2">
        <v>16197.44</v>
      </c>
      <c r="F20" s="6">
        <v>0</v>
      </c>
      <c r="G20" s="2">
        <v>3817.968</v>
      </c>
      <c r="H20" s="2">
        <v>65854.783</v>
      </c>
      <c r="I20" s="2">
        <v>0</v>
      </c>
      <c r="J20" s="6">
        <f>((C20+D20+E20)-(F20+G20+H20+I20))</f>
        <v>1917934.945</v>
      </c>
    </row>
    <row r="21" spans="1:10" s="41" customFormat="1" ht="12.75" customHeight="1">
      <c r="A21" s="29" t="s">
        <v>70</v>
      </c>
      <c r="B21" s="26"/>
      <c r="C21" s="13">
        <f aca="true" t="shared" si="4" ref="C21:J21">SUM(C20)</f>
        <v>1956069.173</v>
      </c>
      <c r="D21" s="13">
        <f t="shared" si="4"/>
        <v>15341.082999999999</v>
      </c>
      <c r="E21" s="13">
        <f t="shared" si="4"/>
        <v>16197.44</v>
      </c>
      <c r="F21" s="14">
        <f t="shared" si="4"/>
        <v>0</v>
      </c>
      <c r="G21" s="13">
        <f t="shared" si="4"/>
        <v>3817.968</v>
      </c>
      <c r="H21" s="13">
        <f t="shared" si="4"/>
        <v>65854.783</v>
      </c>
      <c r="I21" s="13">
        <f t="shared" si="4"/>
        <v>0</v>
      </c>
      <c r="J21" s="14">
        <f t="shared" si="4"/>
        <v>1917934.945</v>
      </c>
    </row>
    <row r="22" spans="1:10" ht="12.75" customHeight="1">
      <c r="A22" s="27" t="s">
        <v>22</v>
      </c>
      <c r="B22" s="28">
        <v>3500</v>
      </c>
      <c r="C22" s="2">
        <v>1737297.3339999998</v>
      </c>
      <c r="D22" s="2">
        <v>20928.58</v>
      </c>
      <c r="E22" s="2">
        <v>22104.134</v>
      </c>
      <c r="F22" s="6">
        <v>0</v>
      </c>
      <c r="G22" s="2">
        <v>671.45</v>
      </c>
      <c r="H22" s="2">
        <v>74624.953</v>
      </c>
      <c r="I22" s="2">
        <v>-158.922918</v>
      </c>
      <c r="J22" s="6">
        <f>((C22+D22+E22)-(F22+G22+H22+I22))</f>
        <v>1705192.567918</v>
      </c>
    </row>
    <row r="23" spans="1:10" s="41" customFormat="1" ht="12.75" customHeight="1">
      <c r="A23" s="29" t="s">
        <v>71</v>
      </c>
      <c r="B23" s="26"/>
      <c r="C23" s="13">
        <f aca="true" t="shared" si="5" ref="C23:J23">SUM(C22)</f>
        <v>1737297.3339999998</v>
      </c>
      <c r="D23" s="13">
        <f t="shared" si="5"/>
        <v>20928.58</v>
      </c>
      <c r="E23" s="13">
        <f t="shared" si="5"/>
        <v>22104.134</v>
      </c>
      <c r="F23" s="14">
        <f t="shared" si="5"/>
        <v>0</v>
      </c>
      <c r="G23" s="13">
        <f t="shared" si="5"/>
        <v>671.45</v>
      </c>
      <c r="H23" s="13">
        <f t="shared" si="5"/>
        <v>74624.953</v>
      </c>
      <c r="I23" s="13">
        <f t="shared" si="5"/>
        <v>-158.922918</v>
      </c>
      <c r="J23" s="14">
        <f t="shared" si="5"/>
        <v>1705192.567918</v>
      </c>
    </row>
    <row r="24" spans="1:10" ht="12.75" customHeight="1">
      <c r="A24" s="27" t="s">
        <v>23</v>
      </c>
      <c r="B24" s="28">
        <v>4001</v>
      </c>
      <c r="C24" s="2">
        <v>453772.10799999995</v>
      </c>
      <c r="D24" s="2">
        <v>0</v>
      </c>
      <c r="E24" s="2">
        <v>0</v>
      </c>
      <c r="F24" s="6">
        <v>0</v>
      </c>
      <c r="G24" s="2">
        <v>2412.055</v>
      </c>
      <c r="H24" s="2">
        <v>149334.612</v>
      </c>
      <c r="I24" s="2">
        <v>0</v>
      </c>
      <c r="J24" s="6">
        <f>((C24+D24+E24)-(F24+G24+H24+I24))</f>
        <v>302025.441</v>
      </c>
    </row>
    <row r="25" spans="1:10" s="41" customFormat="1" ht="12.75" customHeight="1">
      <c r="A25" s="29" t="s">
        <v>73</v>
      </c>
      <c r="B25" s="26"/>
      <c r="C25" s="13">
        <f aca="true" t="shared" si="6" ref="C25:J25">SUM(C24)</f>
        <v>453772.10799999995</v>
      </c>
      <c r="D25" s="13">
        <f t="shared" si="6"/>
        <v>0</v>
      </c>
      <c r="E25" s="13">
        <f t="shared" si="6"/>
        <v>0</v>
      </c>
      <c r="F25" s="14">
        <f t="shared" si="6"/>
        <v>0</v>
      </c>
      <c r="G25" s="13">
        <f t="shared" si="6"/>
        <v>2412.055</v>
      </c>
      <c r="H25" s="13">
        <f t="shared" si="6"/>
        <v>149334.612</v>
      </c>
      <c r="I25" s="13">
        <f t="shared" si="6"/>
        <v>0</v>
      </c>
      <c r="J25" s="14">
        <f t="shared" si="6"/>
        <v>302025.441</v>
      </c>
    </row>
    <row r="26" spans="1:10" ht="12.75" customHeight="1">
      <c r="A26" s="27" t="s">
        <v>24</v>
      </c>
      <c r="B26" s="28">
        <v>4202</v>
      </c>
      <c r="C26" s="2">
        <v>2828832.2789999996</v>
      </c>
      <c r="D26" s="2">
        <v>470.015</v>
      </c>
      <c r="E26" s="2">
        <v>-38.221</v>
      </c>
      <c r="F26" s="6">
        <v>11717.319</v>
      </c>
      <c r="G26" s="2">
        <v>39318.045999999995</v>
      </c>
      <c r="H26" s="2">
        <v>-507073.87499999994</v>
      </c>
      <c r="I26" s="2">
        <v>8875.536</v>
      </c>
      <c r="J26" s="6">
        <f>((C26+D26+E26)-(F26+G26+H26+I26))</f>
        <v>3276427.047</v>
      </c>
    </row>
    <row r="27" spans="1:10" ht="12.75" customHeight="1">
      <c r="A27" s="27" t="s">
        <v>25</v>
      </c>
      <c r="B27" s="28">
        <v>4212</v>
      </c>
      <c r="C27" s="2">
        <v>1076518.224</v>
      </c>
      <c r="D27" s="2">
        <v>141.521</v>
      </c>
      <c r="E27" s="2">
        <v>-3549.388</v>
      </c>
      <c r="F27" s="6">
        <v>1123.904</v>
      </c>
      <c r="G27" s="2">
        <v>17639.507999999998</v>
      </c>
      <c r="H27" s="2">
        <v>42250.733</v>
      </c>
      <c r="I27" s="2">
        <v>-8875.536</v>
      </c>
      <c r="J27" s="6">
        <f>((C27+D27+E27)-(F27+G27+H27+I27))</f>
        <v>1020971.7479999999</v>
      </c>
    </row>
    <row r="28" spans="1:10" s="41" customFormat="1" ht="12.75" customHeight="1">
      <c r="A28" s="29" t="s">
        <v>74</v>
      </c>
      <c r="B28" s="26"/>
      <c r="C28" s="13">
        <f aca="true" t="shared" si="7" ref="C28:J28">SUM(C26:C27)</f>
        <v>3905350.5029999996</v>
      </c>
      <c r="D28" s="13">
        <f t="shared" si="7"/>
        <v>611.536</v>
      </c>
      <c r="E28" s="13">
        <f t="shared" si="7"/>
        <v>-3587.609</v>
      </c>
      <c r="F28" s="14">
        <f t="shared" si="7"/>
        <v>12841.223</v>
      </c>
      <c r="G28" s="13">
        <f t="shared" si="7"/>
        <v>56957.55399999999</v>
      </c>
      <c r="H28" s="13">
        <f t="shared" si="7"/>
        <v>-464823.14199999993</v>
      </c>
      <c r="I28" s="13">
        <f t="shared" si="7"/>
        <v>0</v>
      </c>
      <c r="J28" s="14">
        <f t="shared" si="7"/>
        <v>4297398.795</v>
      </c>
    </row>
    <row r="29" spans="1:10" ht="12.75" customHeight="1">
      <c r="A29" s="27" t="s">
        <v>26</v>
      </c>
      <c r="B29" s="28">
        <v>5001</v>
      </c>
      <c r="C29" s="2">
        <v>768378.4559999999</v>
      </c>
      <c r="D29" s="2">
        <v>31832.927999999996</v>
      </c>
      <c r="E29" s="2">
        <v>51235.76699999999</v>
      </c>
      <c r="F29" s="6">
        <v>0</v>
      </c>
      <c r="G29" s="2">
        <v>6084.37</v>
      </c>
      <c r="H29" s="2">
        <v>35978.356999999996</v>
      </c>
      <c r="I29" s="2">
        <v>21580.403</v>
      </c>
      <c r="J29" s="6">
        <f>((C29+D29+E29)-(F29+G29+H29+I29))</f>
        <v>787804.0209999998</v>
      </c>
    </row>
    <row r="30" spans="1:10" ht="12.75" customHeight="1">
      <c r="A30" s="27" t="s">
        <v>27</v>
      </c>
      <c r="B30" s="28">
        <v>5002</v>
      </c>
      <c r="C30" s="2">
        <v>295949.33499999996</v>
      </c>
      <c r="D30" s="2">
        <v>19585.68</v>
      </c>
      <c r="E30" s="2">
        <v>23716.646999999997</v>
      </c>
      <c r="F30" s="6">
        <v>0</v>
      </c>
      <c r="G30" s="2">
        <v>60.946999999999996</v>
      </c>
      <c r="H30" s="2">
        <v>25398.371</v>
      </c>
      <c r="I30" s="2">
        <v>-9230.887999999999</v>
      </c>
      <c r="J30" s="6">
        <f>((C30+D30+E30)-(F30+G30+H30+I30))</f>
        <v>323023.23199999996</v>
      </c>
    </row>
    <row r="31" spans="1:10" ht="12.75" customHeight="1">
      <c r="A31" s="27" t="s">
        <v>28</v>
      </c>
      <c r="B31" s="28">
        <v>5003</v>
      </c>
      <c r="C31" s="2">
        <v>60173.282999999996</v>
      </c>
      <c r="D31" s="2">
        <v>8360.069</v>
      </c>
      <c r="E31" s="2">
        <v>2748.8129999999996</v>
      </c>
      <c r="F31" s="6">
        <v>0</v>
      </c>
      <c r="G31" s="2">
        <v>154.95</v>
      </c>
      <c r="H31" s="2">
        <v>6655.619</v>
      </c>
      <c r="I31" s="2">
        <v>-5739.348</v>
      </c>
      <c r="J31" s="6">
        <f>((C31+D31+E31)-(F31+G31+H31+I31))</f>
        <v>70210.94399999999</v>
      </c>
    </row>
    <row r="32" spans="1:10" ht="12.75" customHeight="1">
      <c r="A32" s="27" t="s">
        <v>29</v>
      </c>
      <c r="B32" s="28">
        <v>5004</v>
      </c>
      <c r="C32" s="2">
        <v>400632.522</v>
      </c>
      <c r="D32" s="2">
        <v>14302.918</v>
      </c>
      <c r="E32" s="2">
        <v>14029.172999999999</v>
      </c>
      <c r="F32" s="6">
        <v>0</v>
      </c>
      <c r="G32" s="2">
        <v>324.36199999999997</v>
      </c>
      <c r="H32" s="2">
        <v>12777.177</v>
      </c>
      <c r="I32" s="2">
        <v>-4340.665999999999</v>
      </c>
      <c r="J32" s="6">
        <f>((C32+D32+E32)-(F32+G32+H32+I32))</f>
        <v>420203.74</v>
      </c>
    </row>
    <row r="33" spans="1:10" s="41" customFormat="1" ht="12.75" customHeight="1">
      <c r="A33" s="29" t="s">
        <v>75</v>
      </c>
      <c r="B33" s="26"/>
      <c r="C33" s="13">
        <f aca="true" t="shared" si="8" ref="C33:J33">SUM(C29:C32)</f>
        <v>1525133.596</v>
      </c>
      <c r="D33" s="13">
        <f t="shared" si="8"/>
        <v>74081.595</v>
      </c>
      <c r="E33" s="13">
        <f t="shared" si="8"/>
        <v>91730.39999999998</v>
      </c>
      <c r="F33" s="14">
        <f t="shared" si="8"/>
        <v>0</v>
      </c>
      <c r="G33" s="13">
        <f t="shared" si="8"/>
        <v>6624.629</v>
      </c>
      <c r="H33" s="13">
        <f t="shared" si="8"/>
        <v>80809.52399999999</v>
      </c>
      <c r="I33" s="13">
        <f t="shared" si="8"/>
        <v>2269.501</v>
      </c>
      <c r="J33" s="14">
        <f t="shared" si="8"/>
        <v>1601241.9369999997</v>
      </c>
    </row>
    <row r="34" spans="1:10" ht="12.75" customHeight="1">
      <c r="A34" s="27" t="s">
        <v>30</v>
      </c>
      <c r="B34" s="28">
        <v>5501</v>
      </c>
      <c r="C34" s="2">
        <v>1302031.4209999999</v>
      </c>
      <c r="D34" s="2">
        <v>15093.162999999999</v>
      </c>
      <c r="E34" s="2">
        <v>46857.91299999999</v>
      </c>
      <c r="F34" s="6">
        <v>3376.877</v>
      </c>
      <c r="G34" s="2">
        <v>2205.455</v>
      </c>
      <c r="H34" s="2">
        <v>66829.935</v>
      </c>
      <c r="I34" s="2">
        <v>466.91599999999994</v>
      </c>
      <c r="J34" s="6">
        <f>((C34+D34+E34)-(F34+G34+H34+I34))</f>
        <v>1291103.3139999998</v>
      </c>
    </row>
    <row r="35" spans="1:10" s="41" customFormat="1" ht="12.75" customHeight="1">
      <c r="A35" s="29" t="s">
        <v>76</v>
      </c>
      <c r="B35" s="26"/>
      <c r="C35" s="13">
        <f aca="true" t="shared" si="9" ref="C35:J35">SUM(C34)</f>
        <v>1302031.4209999999</v>
      </c>
      <c r="D35" s="13">
        <f t="shared" si="9"/>
        <v>15093.162999999999</v>
      </c>
      <c r="E35" s="13">
        <f t="shared" si="9"/>
        <v>46857.91299999999</v>
      </c>
      <c r="F35" s="14">
        <f t="shared" si="9"/>
        <v>3376.877</v>
      </c>
      <c r="G35" s="13">
        <f t="shared" si="9"/>
        <v>2205.455</v>
      </c>
      <c r="H35" s="13">
        <f t="shared" si="9"/>
        <v>66829.935</v>
      </c>
      <c r="I35" s="13">
        <f t="shared" si="9"/>
        <v>466.91599999999994</v>
      </c>
      <c r="J35" s="14">
        <f t="shared" si="9"/>
        <v>1291103.3139999998</v>
      </c>
    </row>
    <row r="36" spans="1:10" ht="12.75" customHeight="1">
      <c r="A36" s="27" t="s">
        <v>31</v>
      </c>
      <c r="B36" s="28">
        <v>6002</v>
      </c>
      <c r="C36" s="2">
        <v>79571.99</v>
      </c>
      <c r="D36" s="2">
        <v>0</v>
      </c>
      <c r="E36" s="2">
        <v>745.8259999999999</v>
      </c>
      <c r="F36" s="6">
        <v>0</v>
      </c>
      <c r="G36" s="2">
        <v>53.715999999999994</v>
      </c>
      <c r="H36" s="2">
        <v>-13525.069</v>
      </c>
      <c r="I36" s="2">
        <v>-1986.4589999999998</v>
      </c>
      <c r="J36" s="6">
        <f aca="true" t="shared" si="10" ref="J36:J41">((C36+D36+E36)-(F36+G36+H36+I36))</f>
        <v>95775.628</v>
      </c>
    </row>
    <row r="37" spans="1:10" ht="12.75" customHeight="1">
      <c r="A37" s="27" t="s">
        <v>32</v>
      </c>
      <c r="B37" s="28">
        <v>6004</v>
      </c>
      <c r="C37" s="2">
        <v>76390.35</v>
      </c>
      <c r="D37" s="2">
        <v>0</v>
      </c>
      <c r="E37" s="2">
        <v>810.905</v>
      </c>
      <c r="F37" s="6">
        <v>0</v>
      </c>
      <c r="G37" s="2">
        <v>82.64</v>
      </c>
      <c r="H37" s="2">
        <v>-20089.784</v>
      </c>
      <c r="I37" s="2">
        <v>-14698.556999999999</v>
      </c>
      <c r="J37" s="6">
        <f t="shared" si="10"/>
        <v>111906.956</v>
      </c>
    </row>
    <row r="38" spans="1:10" ht="12.75" customHeight="1">
      <c r="A38" s="27" t="s">
        <v>33</v>
      </c>
      <c r="B38" s="28">
        <v>6006</v>
      </c>
      <c r="C38" s="2">
        <v>411343.69899999996</v>
      </c>
      <c r="D38" s="2">
        <v>0</v>
      </c>
      <c r="E38" s="2">
        <v>3936.7629999999995</v>
      </c>
      <c r="F38" s="6">
        <v>16717.038999999997</v>
      </c>
      <c r="G38" s="2">
        <v>616.7009999999999</v>
      </c>
      <c r="H38" s="2">
        <v>-43458.31</v>
      </c>
      <c r="I38" s="2">
        <v>-4140.263999999999</v>
      </c>
      <c r="J38" s="6">
        <f t="shared" si="10"/>
        <v>445545.2959999999</v>
      </c>
    </row>
    <row r="39" spans="1:10" ht="12.75" customHeight="1">
      <c r="A39" s="27" t="s">
        <v>34</v>
      </c>
      <c r="B39" s="28">
        <v>6007</v>
      </c>
      <c r="C39" s="2">
        <v>807811.1649999999</v>
      </c>
      <c r="D39" s="2">
        <v>0</v>
      </c>
      <c r="E39" s="2">
        <v>7652.463999999999</v>
      </c>
      <c r="F39" s="38">
        <v>7025.432999999999</v>
      </c>
      <c r="G39" s="2">
        <v>2674.437</v>
      </c>
      <c r="H39" s="2">
        <v>-123015.83799999999</v>
      </c>
      <c r="I39" s="2">
        <v>-10966.328</v>
      </c>
      <c r="J39" s="6">
        <f t="shared" si="10"/>
        <v>939745.9249999999</v>
      </c>
    </row>
    <row r="40" spans="1:10" ht="12.75" customHeight="1">
      <c r="A40" s="27" t="s">
        <v>35</v>
      </c>
      <c r="B40" s="28">
        <v>6008</v>
      </c>
      <c r="C40" s="2">
        <v>859022.14</v>
      </c>
      <c r="D40" s="2">
        <v>0</v>
      </c>
      <c r="E40" s="2">
        <v>7080.182</v>
      </c>
      <c r="F40" s="6">
        <v>3553.52</v>
      </c>
      <c r="G40" s="2">
        <v>4277.652999999999</v>
      </c>
      <c r="H40" s="2">
        <v>-24942.818</v>
      </c>
      <c r="I40" s="38">
        <v>42528.61</v>
      </c>
      <c r="J40" s="6">
        <f t="shared" si="10"/>
        <v>840685.3570000001</v>
      </c>
    </row>
    <row r="41" spans="1:10" ht="12.75" customHeight="1">
      <c r="A41" s="27" t="s">
        <v>36</v>
      </c>
      <c r="B41" s="28">
        <v>6014</v>
      </c>
      <c r="C41" s="2">
        <v>-3454.352</v>
      </c>
      <c r="D41" s="2">
        <v>0</v>
      </c>
      <c r="E41" s="2">
        <v>225.194</v>
      </c>
      <c r="F41" s="6">
        <v>0</v>
      </c>
      <c r="G41" s="2">
        <v>0</v>
      </c>
      <c r="H41" s="2">
        <v>-35639.532999999996</v>
      </c>
      <c r="I41" s="2">
        <v>-3809.7039999999997</v>
      </c>
      <c r="J41" s="6">
        <f t="shared" si="10"/>
        <v>36220.07899999999</v>
      </c>
    </row>
    <row r="42" spans="1:10" s="41" customFormat="1" ht="12.75" customHeight="1">
      <c r="A42" s="29" t="s">
        <v>77</v>
      </c>
      <c r="B42" s="26"/>
      <c r="C42" s="13">
        <f aca="true" t="shared" si="11" ref="C42:J42">SUM(C36:C41)</f>
        <v>2230684.992</v>
      </c>
      <c r="D42" s="13">
        <f t="shared" si="11"/>
        <v>0</v>
      </c>
      <c r="E42" s="13">
        <f t="shared" si="11"/>
        <v>20451.334</v>
      </c>
      <c r="F42" s="14">
        <f t="shared" si="11"/>
        <v>27295.991999999995</v>
      </c>
      <c r="G42" s="13">
        <f t="shared" si="11"/>
        <v>7705.146999999999</v>
      </c>
      <c r="H42" s="13">
        <f t="shared" si="11"/>
        <v>-260671.35199999998</v>
      </c>
      <c r="I42" s="13">
        <f t="shared" si="11"/>
        <v>6927.298000000001</v>
      </c>
      <c r="J42" s="14">
        <f t="shared" si="11"/>
        <v>2469879.2409999995</v>
      </c>
    </row>
    <row r="43" spans="1:10" ht="12.75" customHeight="1">
      <c r="A43" s="27" t="s">
        <v>37</v>
      </c>
      <c r="B43" s="28">
        <v>6501</v>
      </c>
      <c r="C43" s="2">
        <v>718735.575</v>
      </c>
      <c r="D43" s="2">
        <v>3057.68</v>
      </c>
      <c r="E43" s="2">
        <v>27374.5</v>
      </c>
      <c r="F43" s="6">
        <v>0</v>
      </c>
      <c r="G43" s="2">
        <v>1718.9119999999998</v>
      </c>
      <c r="H43" s="2">
        <v>38280.914</v>
      </c>
      <c r="I43" s="2">
        <v>-2521.553</v>
      </c>
      <c r="J43" s="6">
        <f>((C43+D43+E43)-(F43+G43+H43+I43))</f>
        <v>711689.482</v>
      </c>
    </row>
    <row r="44" spans="1:10" ht="12.75" customHeight="1">
      <c r="A44" s="27" t="s">
        <v>38</v>
      </c>
      <c r="B44" s="28">
        <v>6502</v>
      </c>
      <c r="C44" s="2">
        <v>716962.9469999999</v>
      </c>
      <c r="D44" s="2">
        <v>0</v>
      </c>
      <c r="E44" s="2">
        <v>30093.355999999996</v>
      </c>
      <c r="F44" s="6">
        <v>0</v>
      </c>
      <c r="G44" s="2">
        <v>6019.290999999999</v>
      </c>
      <c r="H44" s="2">
        <v>38049.522</v>
      </c>
      <c r="I44" s="2">
        <v>44373.547999999995</v>
      </c>
      <c r="J44" s="6">
        <f>((C44+D44+E44)-(F44+G44+H44+I44))</f>
        <v>658613.9419999999</v>
      </c>
    </row>
    <row r="45" spans="1:10" ht="12.75" customHeight="1">
      <c r="A45" s="27" t="s">
        <v>39</v>
      </c>
      <c r="B45" s="28">
        <v>6503</v>
      </c>
      <c r="C45" s="2">
        <v>35194.31</v>
      </c>
      <c r="D45" s="2">
        <v>0</v>
      </c>
      <c r="E45" s="2">
        <v>691.077</v>
      </c>
      <c r="F45" s="6">
        <v>0</v>
      </c>
      <c r="G45" s="2">
        <v>38.221</v>
      </c>
      <c r="H45" s="2">
        <v>988.5809999999999</v>
      </c>
      <c r="I45" s="2">
        <v>-10784.52</v>
      </c>
      <c r="J45" s="6">
        <f>((C45+D45+E45)-(F45+G45+H45+I45))</f>
        <v>45643.104999999996</v>
      </c>
    </row>
    <row r="46" spans="1:10" ht="12.75" customHeight="1">
      <c r="A46" s="27" t="s">
        <v>40</v>
      </c>
      <c r="B46" s="28">
        <v>6504</v>
      </c>
      <c r="C46" s="2">
        <v>75460.65</v>
      </c>
      <c r="D46" s="2">
        <v>0</v>
      </c>
      <c r="E46" s="2">
        <v>1827.377</v>
      </c>
      <c r="F46" s="6">
        <v>0</v>
      </c>
      <c r="G46" s="2">
        <v>254.11799999999997</v>
      </c>
      <c r="H46" s="2">
        <v>3271.511</v>
      </c>
      <c r="I46" s="2">
        <v>-17830.612999999998</v>
      </c>
      <c r="J46" s="6">
        <f>((C46+D46+E46)-(F46+G46+H46+I46))</f>
        <v>91593.01099999998</v>
      </c>
    </row>
    <row r="47" spans="1:10" ht="12.75" customHeight="1">
      <c r="A47" s="27" t="s">
        <v>41</v>
      </c>
      <c r="B47" s="28">
        <v>6505</v>
      </c>
      <c r="C47" s="2">
        <v>41262.151999999995</v>
      </c>
      <c r="D47" s="2">
        <v>0</v>
      </c>
      <c r="E47" s="2">
        <v>931.766</v>
      </c>
      <c r="F47" s="6">
        <v>0</v>
      </c>
      <c r="G47" s="2">
        <v>8.264</v>
      </c>
      <c r="H47" s="2">
        <v>1184.8509999999999</v>
      </c>
      <c r="I47" s="2">
        <v>-11371.264</v>
      </c>
      <c r="J47" s="6">
        <f>((C47+D47+E47)-(F47+G47+H47+I47))</f>
        <v>52372.066999999995</v>
      </c>
    </row>
    <row r="48" spans="1:10" s="41" customFormat="1" ht="12.75" customHeight="1">
      <c r="A48" s="29" t="s">
        <v>78</v>
      </c>
      <c r="B48" s="26"/>
      <c r="C48" s="13">
        <f aca="true" t="shared" si="12" ref="C48:J48">SUM(C43:C47)</f>
        <v>1587615.6339999998</v>
      </c>
      <c r="D48" s="13">
        <f t="shared" si="12"/>
        <v>3057.68</v>
      </c>
      <c r="E48" s="13">
        <f t="shared" si="12"/>
        <v>60918.076</v>
      </c>
      <c r="F48" s="14">
        <f t="shared" si="12"/>
        <v>0</v>
      </c>
      <c r="G48" s="13">
        <f t="shared" si="12"/>
        <v>8038.806</v>
      </c>
      <c r="H48" s="13">
        <f t="shared" si="12"/>
        <v>81775.37899999999</v>
      </c>
      <c r="I48" s="13">
        <f t="shared" si="12"/>
        <v>1865.5979999999981</v>
      </c>
      <c r="J48" s="14">
        <f t="shared" si="12"/>
        <v>1559911.6069999998</v>
      </c>
    </row>
    <row r="49" spans="1:10" ht="12.75" customHeight="1">
      <c r="A49" s="27" t="s">
        <v>42</v>
      </c>
      <c r="B49" s="28">
        <v>7002</v>
      </c>
      <c r="C49" s="2">
        <v>444848.02099999995</v>
      </c>
      <c r="D49" s="2">
        <v>1543.302</v>
      </c>
      <c r="E49" s="2">
        <v>28277.341999999997</v>
      </c>
      <c r="F49" s="6">
        <v>5063.766</v>
      </c>
      <c r="G49" s="2">
        <v>5038.973999999999</v>
      </c>
      <c r="H49" s="2">
        <v>-48258.66099999999</v>
      </c>
      <c r="I49" s="38">
        <v>31943.459</v>
      </c>
      <c r="J49" s="6">
        <f>((C49+D49+E49)-(F49+G49+H49+I49))</f>
        <v>480881.127</v>
      </c>
    </row>
    <row r="50" spans="1:10" ht="12.75" customHeight="1">
      <c r="A50" s="27" t="s">
        <v>43</v>
      </c>
      <c r="B50" s="28">
        <v>7003</v>
      </c>
      <c r="C50" s="2">
        <v>2032284.9459999998</v>
      </c>
      <c r="D50" s="2">
        <v>7443.798</v>
      </c>
      <c r="E50" s="2">
        <v>59884.043</v>
      </c>
      <c r="F50" s="6">
        <v>0</v>
      </c>
      <c r="G50" s="2">
        <v>36666.335</v>
      </c>
      <c r="H50" s="2">
        <v>-538101.063</v>
      </c>
      <c r="I50" s="38">
        <v>-10273.185</v>
      </c>
      <c r="J50" s="6">
        <f>((C50+D50+E50)-(F50+G50+H50+I50))</f>
        <v>2611320.6999999993</v>
      </c>
    </row>
    <row r="51" spans="1:10" ht="12.75" customHeight="1">
      <c r="A51" s="27" t="s">
        <v>44</v>
      </c>
      <c r="B51" s="28">
        <v>7005</v>
      </c>
      <c r="C51" s="2">
        <v>758160.02</v>
      </c>
      <c r="D51" s="2">
        <v>2552.5429999999997</v>
      </c>
      <c r="E51" s="2">
        <v>38352.191</v>
      </c>
      <c r="F51" s="6">
        <v>10385.782</v>
      </c>
      <c r="G51" s="2">
        <v>8687.53</v>
      </c>
      <c r="H51" s="2">
        <v>37.187999999999995</v>
      </c>
      <c r="I51" s="38">
        <v>-15533.221</v>
      </c>
      <c r="J51" s="6">
        <f>((C51+D51+E51)-(F51+G51+H51+I51))</f>
        <v>795487.475</v>
      </c>
    </row>
    <row r="52" spans="1:10" ht="12.75" customHeight="1">
      <c r="A52" s="27" t="s">
        <v>45</v>
      </c>
      <c r="B52" s="28">
        <v>7026</v>
      </c>
      <c r="C52" s="2">
        <v>1058640.0929999999</v>
      </c>
      <c r="D52" s="2">
        <v>3828.298</v>
      </c>
      <c r="E52" s="2">
        <v>74841.88299999999</v>
      </c>
      <c r="F52" s="6">
        <v>0</v>
      </c>
      <c r="G52" s="2">
        <v>12240.017</v>
      </c>
      <c r="H52" s="38">
        <v>-538422.326</v>
      </c>
      <c r="I52" s="38">
        <v>18296.496</v>
      </c>
      <c r="J52" s="6">
        <f>((C52+D52+E52)-(F52+G52+H52+I52))</f>
        <v>1645196.0869999998</v>
      </c>
    </row>
    <row r="53" spans="1:10" s="41" customFormat="1" ht="12.75" customHeight="1">
      <c r="A53" s="29" t="s">
        <v>79</v>
      </c>
      <c r="B53" s="26"/>
      <c r="C53" s="13">
        <f aca="true" t="shared" si="13" ref="C53:J53">SUM(C49:C52)</f>
        <v>4293933.08</v>
      </c>
      <c r="D53" s="13">
        <f t="shared" si="13"/>
        <v>15367.940999999999</v>
      </c>
      <c r="E53" s="13">
        <f t="shared" si="13"/>
        <v>201355.45899999997</v>
      </c>
      <c r="F53" s="14">
        <f t="shared" si="13"/>
        <v>15449.547999999999</v>
      </c>
      <c r="G53" s="13">
        <f t="shared" si="13"/>
        <v>62632.856</v>
      </c>
      <c r="H53" s="13">
        <f t="shared" si="13"/>
        <v>-1124744.862</v>
      </c>
      <c r="I53" s="13">
        <f t="shared" si="13"/>
        <v>24433.549</v>
      </c>
      <c r="J53" s="14">
        <f t="shared" si="13"/>
        <v>5532885.388999999</v>
      </c>
    </row>
    <row r="54" spans="1:10" ht="12.75" customHeight="1">
      <c r="A54" s="27" t="s">
        <v>46</v>
      </c>
      <c r="B54" s="28">
        <v>7601</v>
      </c>
      <c r="C54" s="2">
        <v>1250636.572</v>
      </c>
      <c r="D54" s="2">
        <v>8963.340999999999</v>
      </c>
      <c r="E54" s="2">
        <v>27509.822999999997</v>
      </c>
      <c r="F54" s="6">
        <v>0</v>
      </c>
      <c r="G54" s="2">
        <v>1995.7559999999999</v>
      </c>
      <c r="H54" s="2">
        <v>51617.977</v>
      </c>
      <c r="I54" s="2">
        <v>4947.036999999999</v>
      </c>
      <c r="J54" s="6">
        <f>((C54+D54+E54)-(F54+G54+H54+I54))</f>
        <v>1228548.966</v>
      </c>
    </row>
    <row r="55" spans="1:10" ht="12.75" customHeight="1">
      <c r="A55" s="27" t="s">
        <v>47</v>
      </c>
      <c r="B55" s="28">
        <v>7603</v>
      </c>
      <c r="C55" s="2">
        <v>342217.40499999997</v>
      </c>
      <c r="D55" s="2">
        <v>2403.7909999999997</v>
      </c>
      <c r="E55" s="2">
        <v>8818.721</v>
      </c>
      <c r="F55" s="6">
        <v>0</v>
      </c>
      <c r="G55" s="2">
        <v>815.0369999999999</v>
      </c>
      <c r="H55" s="2">
        <v>13505.442</v>
      </c>
      <c r="I55" s="2">
        <v>-4947.036999999999</v>
      </c>
      <c r="J55" s="6">
        <f>((C55+D55+E55)-(F55+G55+H55+I55))</f>
        <v>344066.47500000003</v>
      </c>
    </row>
    <row r="56" spans="1:10" s="41" customFormat="1" ht="12.75" customHeight="1">
      <c r="A56" s="29" t="s">
        <v>80</v>
      </c>
      <c r="B56" s="26"/>
      <c r="C56" s="13">
        <f aca="true" t="shared" si="14" ref="C56:J56">SUM(C54:C55)</f>
        <v>1592853.977</v>
      </c>
      <c r="D56" s="13">
        <f t="shared" si="14"/>
        <v>11367.131999999998</v>
      </c>
      <c r="E56" s="13">
        <f t="shared" si="14"/>
        <v>36328.543999999994</v>
      </c>
      <c r="F56" s="14">
        <f t="shared" si="14"/>
        <v>0</v>
      </c>
      <c r="G56" s="13">
        <f t="shared" si="14"/>
        <v>2810.7929999999997</v>
      </c>
      <c r="H56" s="13">
        <f t="shared" si="14"/>
        <v>65123.418999999994</v>
      </c>
      <c r="I56" s="13">
        <f t="shared" si="14"/>
        <v>0</v>
      </c>
      <c r="J56" s="14">
        <f t="shared" si="14"/>
        <v>1572615.441</v>
      </c>
    </row>
    <row r="57" spans="1:12" ht="12.75" customHeight="1">
      <c r="A57" s="27" t="s">
        <v>48</v>
      </c>
      <c r="B57" s="28">
        <v>8001</v>
      </c>
      <c r="C57" s="2">
        <v>2407910.604</v>
      </c>
      <c r="D57" s="2">
        <v>26025.402</v>
      </c>
      <c r="E57" s="2">
        <v>70509.481</v>
      </c>
      <c r="F57" s="6">
        <v>0</v>
      </c>
      <c r="G57" s="2">
        <v>17728.345999999998</v>
      </c>
      <c r="H57" s="2">
        <v>85732.802</v>
      </c>
      <c r="I57" s="2">
        <v>53310</v>
      </c>
      <c r="J57" s="6">
        <f>((C57+D57+E57)-(F57+G57+H57+I57))</f>
        <v>2347674.3389999997</v>
      </c>
      <c r="L57" s="100"/>
    </row>
    <row r="58" spans="1:12" ht="12.75" customHeight="1">
      <c r="A58" s="27" t="s">
        <v>49</v>
      </c>
      <c r="B58" s="28">
        <v>8003</v>
      </c>
      <c r="C58" s="2">
        <v>777430.6349999999</v>
      </c>
      <c r="D58" s="2">
        <v>9059.41</v>
      </c>
      <c r="E58" s="2">
        <v>24762.042999999998</v>
      </c>
      <c r="F58" s="6">
        <v>0</v>
      </c>
      <c r="G58" s="2">
        <v>806.7729999999999</v>
      </c>
      <c r="H58" s="2">
        <v>18535.119</v>
      </c>
      <c r="I58" s="2">
        <v>91023</v>
      </c>
      <c r="J58" s="6">
        <f>((C58+D58+E58)-(F58+G58+H58+I58))</f>
        <v>700887.1959999999</v>
      </c>
      <c r="L58" s="100"/>
    </row>
    <row r="59" spans="1:12" ht="12.75" customHeight="1">
      <c r="A59" s="30" t="s">
        <v>50</v>
      </c>
      <c r="B59" s="31">
        <v>8005</v>
      </c>
      <c r="C59" s="2">
        <v>246350.873</v>
      </c>
      <c r="D59" s="2">
        <v>2774.638</v>
      </c>
      <c r="E59" s="2">
        <v>3848.9579999999996</v>
      </c>
      <c r="F59" s="6">
        <v>0</v>
      </c>
      <c r="G59" s="2">
        <v>663.1859999999999</v>
      </c>
      <c r="H59" s="2">
        <v>3617.566</v>
      </c>
      <c r="I59" s="2">
        <v>75320</v>
      </c>
      <c r="J59" s="6">
        <f>((C59+D59+E59)-(F59+G59+H59+I59))</f>
        <v>173373.717</v>
      </c>
      <c r="L59" s="100"/>
    </row>
    <row r="60" spans="1:12" ht="12.75" customHeight="1">
      <c r="A60" s="30" t="s">
        <v>51</v>
      </c>
      <c r="B60" s="31">
        <v>8040</v>
      </c>
      <c r="C60" s="2">
        <v>286289.752</v>
      </c>
      <c r="D60" s="2">
        <v>3105.198</v>
      </c>
      <c r="E60" s="2">
        <v>3347.9529999999995</v>
      </c>
      <c r="F60" s="6">
        <v>0</v>
      </c>
      <c r="G60" s="2">
        <v>1355.2959999999998</v>
      </c>
      <c r="H60" s="2">
        <v>1841.839</v>
      </c>
      <c r="I60" s="2">
        <v>-219653</v>
      </c>
      <c r="J60" s="6">
        <f>((C60+D60+E60)-(F60+G60+H60+I60))</f>
        <v>509198.7679999999</v>
      </c>
      <c r="L60" s="100"/>
    </row>
    <row r="61" spans="1:12" s="101" customFormat="1" ht="12.75" customHeight="1">
      <c r="A61" s="32" t="s">
        <v>81</v>
      </c>
      <c r="B61" s="20"/>
      <c r="C61" s="16">
        <f aca="true" t="shared" si="15" ref="C61:I61">SUM(C57:C60)</f>
        <v>3717981.8639999996</v>
      </c>
      <c r="D61" s="16">
        <f t="shared" si="15"/>
        <v>40964.647999999994</v>
      </c>
      <c r="E61" s="16">
        <f t="shared" si="15"/>
        <v>102468.435</v>
      </c>
      <c r="F61" s="21">
        <f t="shared" si="15"/>
        <v>0</v>
      </c>
      <c r="G61" s="16">
        <f t="shared" si="15"/>
        <v>20553.601</v>
      </c>
      <c r="H61" s="16">
        <f t="shared" si="15"/>
        <v>109727.326</v>
      </c>
      <c r="I61" s="16">
        <f t="shared" si="15"/>
        <v>0</v>
      </c>
      <c r="J61" s="21">
        <f>SUM(J57:J60)</f>
        <v>3731134.0199999996</v>
      </c>
      <c r="K61" s="13"/>
      <c r="L61" s="13"/>
    </row>
    <row r="62" spans="1:10" s="41" customFormat="1" ht="12.75" customHeight="1">
      <c r="A62" s="15" t="s">
        <v>52</v>
      </c>
      <c r="B62" s="15"/>
      <c r="C62" s="13">
        <f aca="true" t="shared" si="16" ref="C62:J62">C9+C14+C16+C19+C21+C23+C25+C28+C33+C35+C42+C48+C53+C56+C61</f>
        <v>38609215.861999996</v>
      </c>
      <c r="D62" s="13">
        <f t="shared" si="16"/>
        <v>1302150.2160000002</v>
      </c>
      <c r="E62" s="13">
        <f t="shared" si="16"/>
        <v>1088192.157</v>
      </c>
      <c r="F62" s="14">
        <f t="shared" si="16"/>
        <v>481122.8489999999</v>
      </c>
      <c r="G62" s="13">
        <f t="shared" si="16"/>
        <v>261783.89299999995</v>
      </c>
      <c r="H62" s="13">
        <f t="shared" si="16"/>
        <v>-1977232.244</v>
      </c>
      <c r="I62" s="13">
        <f>I9+I14+I16+I19+I21+I23+I25+I28+I33+I35+I42+I48+I53+I56+I61</f>
        <v>36785.289082</v>
      </c>
      <c r="J62" s="14">
        <f t="shared" si="16"/>
        <v>42197098.447918</v>
      </c>
    </row>
    <row r="63" spans="1:10" ht="12.75" customHeight="1">
      <c r="A63" s="8"/>
      <c r="B63" s="8"/>
      <c r="C63" s="1"/>
      <c r="D63" s="1"/>
      <c r="E63" s="24"/>
      <c r="F63" s="1"/>
      <c r="G63" s="1"/>
      <c r="H63" s="1"/>
      <c r="I63" s="24"/>
      <c r="J63" s="2"/>
    </row>
    <row r="64" spans="1:10" ht="12.75" customHeight="1">
      <c r="A64" s="144" t="s">
        <v>91</v>
      </c>
      <c r="B64" s="144"/>
      <c r="C64" s="144"/>
      <c r="D64" s="144"/>
      <c r="E64" s="144"/>
      <c r="F64" s="144"/>
      <c r="G64" s="144"/>
      <c r="H64" s="144"/>
      <c r="I64" s="144"/>
      <c r="J64" s="144"/>
    </row>
    <row r="65" spans="1:10" ht="12.75" customHeight="1">
      <c r="A65" s="8"/>
      <c r="B65" s="8"/>
      <c r="C65" s="1"/>
      <c r="D65" s="1"/>
      <c r="E65" s="1"/>
      <c r="F65" s="1"/>
      <c r="G65" s="1"/>
      <c r="H65" s="1"/>
      <c r="I65" s="1"/>
      <c r="J65" s="2"/>
    </row>
    <row r="66" spans="1:10" ht="11.25">
      <c r="A66" s="8"/>
      <c r="B66" s="8"/>
      <c r="C66" s="1"/>
      <c r="D66" s="1"/>
      <c r="E66" s="1"/>
      <c r="F66" s="1"/>
      <c r="G66" s="1"/>
      <c r="H66" s="1"/>
      <c r="I66" s="1"/>
      <c r="J66" s="2"/>
    </row>
    <row r="67" spans="1:10" ht="11.25">
      <c r="A67" s="18" t="s">
        <v>120</v>
      </c>
      <c r="B67" s="8"/>
      <c r="C67" s="1"/>
      <c r="D67" s="1"/>
      <c r="E67" s="1"/>
      <c r="F67" s="1"/>
      <c r="G67" s="1"/>
      <c r="H67" s="1"/>
      <c r="I67" s="1"/>
      <c r="J67" s="2"/>
    </row>
    <row r="68" spans="1:10" ht="12" customHeight="1">
      <c r="A68" s="57" t="s">
        <v>115</v>
      </c>
      <c r="B68" s="8"/>
      <c r="C68" s="2">
        <f>SUM(C4:C8,C10:C13,C15,C24)</f>
        <v>13130772.899999999</v>
      </c>
      <c r="D68" s="2">
        <f aca="true" t="shared" si="17" ref="D68:I68">SUM(D4:D8,D10:D13,D15,D24)</f>
        <v>1087306.876</v>
      </c>
      <c r="E68" s="2">
        <f t="shared" si="17"/>
        <v>472343.382</v>
      </c>
      <c r="F68" s="2">
        <f t="shared" si="17"/>
        <v>422159.2089999999</v>
      </c>
      <c r="G68" s="2">
        <f t="shared" si="17"/>
        <v>82679.25399999999</v>
      </c>
      <c r="H68" s="2">
        <f t="shared" si="17"/>
        <v>-778569.0010000004</v>
      </c>
      <c r="I68" s="2">
        <f t="shared" si="17"/>
        <v>0</v>
      </c>
      <c r="J68" s="2">
        <f>((C68+D68+E68)-(F68+G68+H68+I68))</f>
        <v>14964153.695999999</v>
      </c>
    </row>
    <row r="69" spans="1:10" ht="12" customHeight="1">
      <c r="A69" s="57" t="s">
        <v>116</v>
      </c>
      <c r="B69" s="8"/>
      <c r="C69" s="2">
        <f>SUM(C17:C18,C20,C22)</f>
        <v>5322857.895</v>
      </c>
      <c r="D69" s="2">
        <f aca="true" t="shared" si="18" ref="D69:I69">SUM(D17:D18,D20,D22)</f>
        <v>54299.645</v>
      </c>
      <c r="E69" s="2">
        <f t="shared" si="18"/>
        <v>59326.223</v>
      </c>
      <c r="F69" s="2">
        <f t="shared" si="18"/>
        <v>0</v>
      </c>
      <c r="G69" s="2">
        <f t="shared" si="18"/>
        <v>11575.797999999999</v>
      </c>
      <c r="H69" s="2">
        <f t="shared" si="18"/>
        <v>247310.52999999997</v>
      </c>
      <c r="I69" s="2">
        <f t="shared" si="18"/>
        <v>822.4270819999999</v>
      </c>
      <c r="J69" s="2">
        <f>((C69+D69+E69)-(F69+G69+H69+I69))</f>
        <v>5176775.007917999</v>
      </c>
    </row>
    <row r="70" spans="1:10" ht="12" customHeight="1">
      <c r="A70" s="57" t="s">
        <v>117</v>
      </c>
      <c r="B70" s="8"/>
      <c r="C70" s="2">
        <f>SUM(C26:C27,C29:C32,C34,C37,C39:C41)</f>
        <v>8472284.822999999</v>
      </c>
      <c r="D70" s="2">
        <f aca="true" t="shared" si="19" ref="D70:I70">SUM(D26:D27,D29:D32,D34,D37,D39:D41)</f>
        <v>89786.29400000001</v>
      </c>
      <c r="E70" s="2">
        <f t="shared" si="19"/>
        <v>150769.44899999996</v>
      </c>
      <c r="F70" s="2">
        <f t="shared" si="19"/>
        <v>26797.053</v>
      </c>
      <c r="G70" s="2">
        <f t="shared" si="19"/>
        <v>72822.368</v>
      </c>
      <c r="H70" s="2">
        <f t="shared" si="19"/>
        <v>-520871.6559999999</v>
      </c>
      <c r="I70" s="2">
        <f t="shared" si="19"/>
        <v>15790.438</v>
      </c>
      <c r="J70" s="2">
        <f>((C70+D70+E70)-(F70+G70+H70+I70))</f>
        <v>9118302.362999998</v>
      </c>
    </row>
    <row r="71" spans="1:10" ht="12" customHeight="1">
      <c r="A71" s="57" t="s">
        <v>118</v>
      </c>
      <c r="B71" s="8"/>
      <c r="C71" s="2">
        <f>SUM(C36,C38,C43:C47,C49:C52,C54)</f>
        <v>7623100.974999999</v>
      </c>
      <c r="D71" s="2">
        <f aca="true" t="shared" si="20" ref="D71:I71">SUM(D36,D38,D43:D47,D49:D52,D54)</f>
        <v>27388.962</v>
      </c>
      <c r="E71" s="2">
        <f t="shared" si="20"/>
        <v>294465.9469999999</v>
      </c>
      <c r="F71" s="2">
        <f t="shared" si="20"/>
        <v>32166.586999999996</v>
      </c>
      <c r="G71" s="2">
        <f t="shared" si="20"/>
        <v>73337.83499999999</v>
      </c>
      <c r="H71" s="2">
        <f t="shared" si="20"/>
        <v>-1048334.885</v>
      </c>
      <c r="I71" s="2">
        <f t="shared" si="20"/>
        <v>25119.461</v>
      </c>
      <c r="J71" s="2">
        <f>((C71+D71+E71)-(F71+G71+H71+I71))</f>
        <v>8862666.885999998</v>
      </c>
    </row>
    <row r="72" spans="1:10" ht="12" customHeight="1">
      <c r="A72" s="57" t="s">
        <v>119</v>
      </c>
      <c r="B72" s="8"/>
      <c r="C72" s="2">
        <f>SUM(C55,C57:C60)</f>
        <v>4060199.2689999994</v>
      </c>
      <c r="D72" s="2">
        <f aca="true" t="shared" si="21" ref="D72:I72">SUM(D55,D57:D60)</f>
        <v>43368.439</v>
      </c>
      <c r="E72" s="2">
        <f t="shared" si="21"/>
        <v>111287.15599999999</v>
      </c>
      <c r="F72" s="2">
        <f t="shared" si="21"/>
        <v>0</v>
      </c>
      <c r="G72" s="2">
        <f t="shared" si="21"/>
        <v>21368.638</v>
      </c>
      <c r="H72" s="2">
        <f t="shared" si="21"/>
        <v>123232.76799999998</v>
      </c>
      <c r="I72" s="2">
        <f t="shared" si="21"/>
        <v>-4947.037000000011</v>
      </c>
      <c r="J72" s="2">
        <f>((C72+D72+E72)-(F72+G72+H72+I72))</f>
        <v>4075200.494999999</v>
      </c>
    </row>
    <row r="73" spans="1:10" ht="11.25">
      <c r="A73" s="8"/>
      <c r="B73" s="8"/>
      <c r="C73" s="1"/>
      <c r="D73" s="1"/>
      <c r="E73" s="1"/>
      <c r="F73" s="1"/>
      <c r="G73" s="1"/>
      <c r="H73" s="1"/>
      <c r="I73" s="1"/>
      <c r="J73" s="2"/>
    </row>
    <row r="74" spans="1:10" ht="11.25">
      <c r="A74" s="8"/>
      <c r="B74" s="8"/>
      <c r="C74" s="1"/>
      <c r="D74" s="1"/>
      <c r="E74" s="1"/>
      <c r="F74" s="1"/>
      <c r="G74" s="1"/>
      <c r="H74" s="1"/>
      <c r="I74" s="1"/>
      <c r="J74" s="2"/>
    </row>
    <row r="75" spans="1:10" ht="11.25">
      <c r="A75" s="8"/>
      <c r="B75" s="8"/>
      <c r="C75" s="1"/>
      <c r="D75" s="1"/>
      <c r="E75" s="1"/>
      <c r="F75" s="1"/>
      <c r="G75" s="1"/>
      <c r="H75" s="1"/>
      <c r="I75" s="1"/>
      <c r="J75" s="2"/>
    </row>
    <row r="76" spans="1:10" ht="11.25">
      <c r="A76" s="8"/>
      <c r="B76" s="8"/>
      <c r="C76" s="1"/>
      <c r="D76" s="1"/>
      <c r="E76" s="1"/>
      <c r="F76" s="1"/>
      <c r="G76" s="1"/>
      <c r="H76" s="1"/>
      <c r="I76" s="1"/>
      <c r="J76" s="2"/>
    </row>
    <row r="77" spans="1:10" ht="11.25">
      <c r="A77" s="8"/>
      <c r="B77" s="8"/>
      <c r="C77" s="1"/>
      <c r="D77" s="1"/>
      <c r="E77" s="1"/>
      <c r="F77" s="1"/>
      <c r="G77" s="1"/>
      <c r="H77" s="1"/>
      <c r="I77" s="1"/>
      <c r="J77" s="2"/>
    </row>
  </sheetData>
  <sheetProtection/>
  <mergeCells count="1">
    <mergeCell ref="A64:J64"/>
  </mergeCells>
  <printOptions/>
  <pageMargins left="0.7874015748031497" right="0.7874015748031497" top="0.7874015748031497" bottom="0.7874015748031497" header="0" footer="0"/>
  <pageSetup horizontalDpi="600" verticalDpi="600" orientation="landscape" paperSize="9" r:id="rId1"/>
  <headerFooter alignWithMargins="0">
    <oddFooter>&amp;C&amp;P af &amp;N</oddFooter>
  </headerFooter>
  <ignoredErrors>
    <ignoredError sqref="J9 J14:J43 J48:J5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2.28125" style="27" customWidth="1"/>
    <col min="2" max="2" width="4.421875" style="27" customWidth="1"/>
    <col min="3" max="3" width="13.8515625" style="9" customWidth="1"/>
    <col min="4" max="8" width="11.140625" style="9" customWidth="1"/>
    <col min="9" max="16384" width="9.140625" style="9" customWidth="1"/>
  </cols>
  <sheetData>
    <row r="1" spans="1:2" s="17" customFormat="1" ht="12.75">
      <c r="A1" s="29" t="s">
        <v>60</v>
      </c>
      <c r="B1" s="29"/>
    </row>
    <row r="3" spans="1:10" s="10" customFormat="1" ht="72" customHeight="1">
      <c r="A3" s="85" t="s">
        <v>1</v>
      </c>
      <c r="B3" s="4" t="s">
        <v>66</v>
      </c>
      <c r="C3" s="4" t="s">
        <v>54</v>
      </c>
      <c r="D3" s="4" t="s">
        <v>61</v>
      </c>
      <c r="E3" s="4" t="s">
        <v>55</v>
      </c>
      <c r="F3" s="4" t="s">
        <v>56</v>
      </c>
      <c r="G3" s="4" t="s">
        <v>57</v>
      </c>
      <c r="H3" s="4" t="s">
        <v>58</v>
      </c>
      <c r="I3" s="103"/>
      <c r="J3" s="4" t="s">
        <v>92</v>
      </c>
    </row>
    <row r="4" spans="1:10" ht="12.75">
      <c r="A4" s="27" t="s">
        <v>9</v>
      </c>
      <c r="B4" s="28">
        <v>1301</v>
      </c>
      <c r="C4" s="46">
        <f>'05_skema1-7'!J4</f>
        <v>4132549.556</v>
      </c>
      <c r="D4" s="46">
        <v>0</v>
      </c>
      <c r="E4" s="46">
        <v>107200.73712499997</v>
      </c>
      <c r="F4" s="2">
        <f>C4-D4-E4</f>
        <v>4025348.818875</v>
      </c>
      <c r="G4" s="46">
        <v>542026.6296109274</v>
      </c>
      <c r="H4" s="46">
        <f>F4-G4</f>
        <v>3483322.1892640726</v>
      </c>
      <c r="I4" s="104"/>
      <c r="J4" s="105">
        <v>0.7430248487311328</v>
      </c>
    </row>
    <row r="5" spans="1:10" ht="12.75">
      <c r="A5" s="27" t="s">
        <v>10</v>
      </c>
      <c r="B5" s="28">
        <v>1309</v>
      </c>
      <c r="C5" s="46">
        <f>'05_skema1-7'!J5</f>
        <v>1163244.7719999999</v>
      </c>
      <c r="D5" s="46">
        <v>0</v>
      </c>
      <c r="E5" s="46">
        <v>25512.388374999995</v>
      </c>
      <c r="F5" s="2">
        <f aca="true" t="shared" si="0" ref="F5:F60">C5-D5-E5</f>
        <v>1137732.3836249998</v>
      </c>
      <c r="G5" s="46">
        <v>18223.470514664692</v>
      </c>
      <c r="H5" s="46">
        <f aca="true" t="shared" si="1" ref="H5:H60">F5-G5</f>
        <v>1119508.9131103351</v>
      </c>
      <c r="I5" s="104"/>
      <c r="J5" s="105">
        <v>0.3541158316210751</v>
      </c>
    </row>
    <row r="6" spans="1:10" ht="12.75">
      <c r="A6" s="27" t="s">
        <v>11</v>
      </c>
      <c r="B6" s="28">
        <v>1330</v>
      </c>
      <c r="C6" s="46">
        <f>'05_skema1-7'!J6</f>
        <v>1463647.3699999999</v>
      </c>
      <c r="D6" s="46">
        <v>0</v>
      </c>
      <c r="E6" s="46">
        <v>30855.219324999995</v>
      </c>
      <c r="F6" s="2">
        <f t="shared" si="0"/>
        <v>1432792.150675</v>
      </c>
      <c r="G6" s="46">
        <v>90739.35738520845</v>
      </c>
      <c r="H6" s="46">
        <f t="shared" si="1"/>
        <v>1342052.7932897916</v>
      </c>
      <c r="I6" s="104"/>
      <c r="J6" s="105">
        <v>0.8197477616473794</v>
      </c>
    </row>
    <row r="7" spans="1:12" ht="12.75">
      <c r="A7" s="27" t="s">
        <v>12</v>
      </c>
      <c r="B7" s="28">
        <v>1351</v>
      </c>
      <c r="C7" s="46">
        <f>'05_skema1-7'!J7</f>
        <v>357749.347146</v>
      </c>
      <c r="D7" s="46">
        <v>0</v>
      </c>
      <c r="E7" s="46">
        <v>1657.4020666499998</v>
      </c>
      <c r="F7" s="2">
        <f t="shared" si="0"/>
        <v>356091.94507935003</v>
      </c>
      <c r="G7" s="46">
        <v>2154.573890430221</v>
      </c>
      <c r="H7" s="46">
        <f t="shared" si="1"/>
        <v>353937.3711889198</v>
      </c>
      <c r="I7" s="104"/>
      <c r="J7" s="105">
        <v>0.2997307847484513</v>
      </c>
      <c r="L7" s="106"/>
    </row>
    <row r="8" spans="1:10" ht="12.75">
      <c r="A8" s="27" t="s">
        <v>13</v>
      </c>
      <c r="B8" s="28">
        <v>1401</v>
      </c>
      <c r="C8" s="46">
        <f>'05_skema1-7'!J8</f>
        <v>663811.9979999999</v>
      </c>
      <c r="D8" s="46">
        <v>0</v>
      </c>
      <c r="E8" s="46">
        <v>3659.2992</v>
      </c>
      <c r="F8" s="2">
        <f t="shared" si="0"/>
        <v>660152.6987999999</v>
      </c>
      <c r="G8" s="46">
        <v>22159.05945846836</v>
      </c>
      <c r="H8" s="46">
        <f t="shared" si="1"/>
        <v>637993.6393415316</v>
      </c>
      <c r="I8" s="104"/>
      <c r="J8" s="105">
        <v>0.7366478960493792</v>
      </c>
    </row>
    <row r="9" spans="1:9" s="17" customFormat="1" ht="12.75">
      <c r="A9" s="29" t="s">
        <v>72</v>
      </c>
      <c r="B9" s="26"/>
      <c r="C9" s="47">
        <f aca="true" t="shared" si="2" ref="C9:H9">SUM(C4:C8)</f>
        <v>7781003.043145999</v>
      </c>
      <c r="D9" s="47">
        <f t="shared" si="2"/>
        <v>0</v>
      </c>
      <c r="E9" s="47">
        <f t="shared" si="2"/>
        <v>168885.04609164994</v>
      </c>
      <c r="F9" s="47">
        <f t="shared" si="2"/>
        <v>7612117.99705435</v>
      </c>
      <c r="G9" s="47">
        <f t="shared" si="2"/>
        <v>675303.0908596992</v>
      </c>
      <c r="H9" s="47">
        <f t="shared" si="2"/>
        <v>6936814.906194651</v>
      </c>
      <c r="I9" s="107"/>
    </row>
    <row r="10" spans="1:10" ht="12.75">
      <c r="A10" s="27" t="s">
        <v>14</v>
      </c>
      <c r="B10" s="28">
        <v>1351</v>
      </c>
      <c r="C10" s="46">
        <f>'05_skema1-7'!J10</f>
        <v>200361.95885399997</v>
      </c>
      <c r="D10" s="46">
        <v>0</v>
      </c>
      <c r="E10" s="46">
        <v>928.2485833499998</v>
      </c>
      <c r="F10" s="2">
        <f t="shared" si="0"/>
        <v>199433.71027064996</v>
      </c>
      <c r="G10" s="46">
        <v>1206.6958294297183</v>
      </c>
      <c r="H10" s="46">
        <f t="shared" si="1"/>
        <v>198227.01444122024</v>
      </c>
      <c r="I10" s="104"/>
      <c r="J10" s="105">
        <v>0.2997307847484513</v>
      </c>
    </row>
    <row r="11" spans="1:10" ht="12.75">
      <c r="A11" s="27" t="s">
        <v>15</v>
      </c>
      <c r="B11" s="28">
        <v>1501</v>
      </c>
      <c r="C11" s="46">
        <f>'05_skema1-7'!J11</f>
        <v>1499183.603</v>
      </c>
      <c r="D11" s="46">
        <v>0</v>
      </c>
      <c r="E11" s="46">
        <v>9563.928409559592</v>
      </c>
      <c r="F11" s="2">
        <f t="shared" si="0"/>
        <v>1489619.6745904402</v>
      </c>
      <c r="G11" s="46">
        <v>12468.57084174687</v>
      </c>
      <c r="H11" s="46">
        <f t="shared" si="1"/>
        <v>1477151.1037486934</v>
      </c>
      <c r="I11" s="104"/>
      <c r="J11" s="105">
        <v>0.2797291006397313</v>
      </c>
    </row>
    <row r="12" spans="1:10" ht="12.75">
      <c r="A12" s="27" t="s">
        <v>16</v>
      </c>
      <c r="B12" s="28">
        <v>1502</v>
      </c>
      <c r="C12" s="46">
        <f>'05_skema1-7'!J12</f>
        <v>1242434.5520000001</v>
      </c>
      <c r="D12" s="46">
        <v>0</v>
      </c>
      <c r="E12" s="46">
        <v>20732.88703936036</v>
      </c>
      <c r="F12" s="2">
        <f t="shared" si="0"/>
        <v>1221701.6649606398</v>
      </c>
      <c r="G12" s="46">
        <v>48896.77388614265</v>
      </c>
      <c r="H12" s="46">
        <f t="shared" si="1"/>
        <v>1172804.8910744973</v>
      </c>
      <c r="I12" s="104"/>
      <c r="J12" s="105">
        <v>0.6879972535321186</v>
      </c>
    </row>
    <row r="13" spans="1:10" ht="12.75">
      <c r="A13" s="27" t="s">
        <v>17</v>
      </c>
      <c r="B13" s="28">
        <v>1516</v>
      </c>
      <c r="C13" s="46">
        <f>'05_skema1-7'!J13</f>
        <v>1786493.9589999998</v>
      </c>
      <c r="D13" s="46">
        <v>0</v>
      </c>
      <c r="E13" s="46">
        <v>46134.46717608004</v>
      </c>
      <c r="F13" s="2">
        <f t="shared" si="0"/>
        <v>1740359.4918239198</v>
      </c>
      <c r="G13" s="46">
        <v>170656.60983789555</v>
      </c>
      <c r="H13" s="46">
        <f t="shared" si="1"/>
        <v>1569702.8819860243</v>
      </c>
      <c r="I13" s="104"/>
      <c r="J13" s="105">
        <v>0.8095727082419768</v>
      </c>
    </row>
    <row r="14" spans="1:9" s="17" customFormat="1" ht="12.75">
      <c r="A14" s="29" t="s">
        <v>67</v>
      </c>
      <c r="B14" s="26"/>
      <c r="C14" s="47">
        <f aca="true" t="shared" si="3" ref="C14:H14">SUM(C10:C13)</f>
        <v>4728474.072853999</v>
      </c>
      <c r="D14" s="47">
        <f t="shared" si="3"/>
        <v>0</v>
      </c>
      <c r="E14" s="47">
        <f t="shared" si="3"/>
        <v>77359.53120835</v>
      </c>
      <c r="F14" s="47">
        <f t="shared" si="3"/>
        <v>4651114.54164565</v>
      </c>
      <c r="G14" s="47">
        <f t="shared" si="3"/>
        <v>233228.6503952148</v>
      </c>
      <c r="H14" s="47">
        <f t="shared" si="3"/>
        <v>4417885.891250435</v>
      </c>
      <c r="I14" s="107"/>
    </row>
    <row r="15" spans="1:10" ht="22.5">
      <c r="A15" s="7" t="s">
        <v>18</v>
      </c>
      <c r="B15" s="28">
        <v>2000</v>
      </c>
      <c r="C15" s="46">
        <f>'05_skema1-7'!J15</f>
        <v>2152651.1389999995</v>
      </c>
      <c r="D15" s="46">
        <v>50812.384502069996</v>
      </c>
      <c r="E15" s="46">
        <v>1564.8185251207497</v>
      </c>
      <c r="F15" s="2">
        <f t="shared" si="0"/>
        <v>2100273.935972809</v>
      </c>
      <c r="G15" s="46">
        <v>50811.62298479999</v>
      </c>
      <c r="H15" s="46">
        <f t="shared" si="1"/>
        <v>2049462.3129880088</v>
      </c>
      <c r="I15" s="104"/>
      <c r="J15" s="105">
        <v>0.3825084535164237</v>
      </c>
    </row>
    <row r="16" spans="1:9" s="17" customFormat="1" ht="12.75">
      <c r="A16" s="15" t="s">
        <v>68</v>
      </c>
      <c r="B16" s="26"/>
      <c r="C16" s="47">
        <f aca="true" t="shared" si="4" ref="C16:H16">SUM(C15)</f>
        <v>2152651.1389999995</v>
      </c>
      <c r="D16" s="47">
        <f t="shared" si="4"/>
        <v>50812.384502069996</v>
      </c>
      <c r="E16" s="47">
        <f t="shared" si="4"/>
        <v>1564.8185251207497</v>
      </c>
      <c r="F16" s="47">
        <f t="shared" si="4"/>
        <v>2100273.935972809</v>
      </c>
      <c r="G16" s="47">
        <f t="shared" si="4"/>
        <v>50811.62298479999</v>
      </c>
      <c r="H16" s="47">
        <f t="shared" si="4"/>
        <v>2049462.3129880088</v>
      </c>
      <c r="I16" s="107"/>
    </row>
    <row r="17" spans="1:10" ht="12.75">
      <c r="A17" s="27" t="s">
        <v>19</v>
      </c>
      <c r="B17" s="28">
        <v>2501</v>
      </c>
      <c r="C17" s="46">
        <f>'05_skema1-7'!J17</f>
        <v>963922.2569999999</v>
      </c>
      <c r="D17" s="46">
        <v>13441.553821739999</v>
      </c>
      <c r="E17" s="46">
        <v>331.2142882544999</v>
      </c>
      <c r="F17" s="2">
        <f t="shared" si="0"/>
        <v>950149.4888900054</v>
      </c>
      <c r="G17" s="46">
        <v>53445.62106626847</v>
      </c>
      <c r="H17" s="46">
        <f t="shared" si="1"/>
        <v>896703.867823737</v>
      </c>
      <c r="I17" s="104"/>
      <c r="J17" s="105">
        <v>0.5468984635384815</v>
      </c>
    </row>
    <row r="18" spans="1:10" ht="12.75">
      <c r="A18" s="27" t="s">
        <v>20</v>
      </c>
      <c r="B18" s="28">
        <v>2502</v>
      </c>
      <c r="C18" s="46">
        <f>'05_skema1-7'!J18</f>
        <v>589725.2379999999</v>
      </c>
      <c r="D18" s="46">
        <v>12639.96103783</v>
      </c>
      <c r="E18" s="46">
        <v>91.25291615174999</v>
      </c>
      <c r="F18" s="2">
        <f t="shared" si="0"/>
        <v>576994.0240460181</v>
      </c>
      <c r="G18" s="46">
        <v>6876.320202037885</v>
      </c>
      <c r="H18" s="46">
        <f t="shared" si="1"/>
        <v>570117.7038439802</v>
      </c>
      <c r="I18" s="104"/>
      <c r="J18" s="105">
        <v>0.36194006006037815</v>
      </c>
    </row>
    <row r="19" spans="1:9" s="17" customFormat="1" ht="12.75">
      <c r="A19" s="29" t="s">
        <v>69</v>
      </c>
      <c r="B19" s="26"/>
      <c r="C19" s="47">
        <f aca="true" t="shared" si="5" ref="C19:H19">SUM(C17:C18)</f>
        <v>1553647.4949999996</v>
      </c>
      <c r="D19" s="47">
        <f t="shared" si="5"/>
        <v>26081.51485957</v>
      </c>
      <c r="E19" s="47">
        <f t="shared" si="5"/>
        <v>422.46720440624983</v>
      </c>
      <c r="F19" s="47">
        <f t="shared" si="5"/>
        <v>1527143.5129360235</v>
      </c>
      <c r="G19" s="47">
        <f t="shared" si="5"/>
        <v>60321.94126830636</v>
      </c>
      <c r="H19" s="47">
        <f t="shared" si="5"/>
        <v>1466821.5716677173</v>
      </c>
      <c r="I19" s="107"/>
    </row>
    <row r="20" spans="1:10" ht="12.75">
      <c r="A20" s="27" t="s">
        <v>21</v>
      </c>
      <c r="B20" s="28">
        <v>3000</v>
      </c>
      <c r="C20" s="46">
        <f>'05_skema1-7'!J20</f>
        <v>1917934.945</v>
      </c>
      <c r="D20" s="46">
        <v>32771.98692835</v>
      </c>
      <c r="E20" s="46">
        <v>844.9344088124998</v>
      </c>
      <c r="F20" s="2">
        <f t="shared" si="0"/>
        <v>1884318.0236628375</v>
      </c>
      <c r="G20" s="46">
        <v>44129.07517348749</v>
      </c>
      <c r="H20" s="46">
        <f t="shared" si="1"/>
        <v>1840188.94848935</v>
      </c>
      <c r="I20" s="104"/>
      <c r="J20" s="105">
        <v>0.6314300523806957</v>
      </c>
    </row>
    <row r="21" spans="1:9" s="17" customFormat="1" ht="12.75">
      <c r="A21" s="29" t="s">
        <v>70</v>
      </c>
      <c r="B21" s="26"/>
      <c r="C21" s="47">
        <f aca="true" t="shared" si="6" ref="C21:H21">SUM(C20)</f>
        <v>1917934.945</v>
      </c>
      <c r="D21" s="47">
        <f t="shared" si="6"/>
        <v>32771.98692835</v>
      </c>
      <c r="E21" s="47">
        <f t="shared" si="6"/>
        <v>844.9344088124998</v>
      </c>
      <c r="F21" s="47">
        <f t="shared" si="6"/>
        <v>1884318.0236628375</v>
      </c>
      <c r="G21" s="47">
        <f t="shared" si="6"/>
        <v>44129.07517348749</v>
      </c>
      <c r="H21" s="47">
        <f t="shared" si="6"/>
        <v>1840188.94848935</v>
      </c>
      <c r="I21" s="107"/>
    </row>
    <row r="22" spans="1:10" ht="12.75">
      <c r="A22" s="27" t="s">
        <v>22</v>
      </c>
      <c r="B22" s="28">
        <v>3500</v>
      </c>
      <c r="C22" s="46">
        <f>'05_skema1-7'!J22</f>
        <v>1705192.567918</v>
      </c>
      <c r="D22" s="46">
        <v>32958.10464567</v>
      </c>
      <c r="E22" s="46">
        <v>1093.9084146092498</v>
      </c>
      <c r="F22" s="2">
        <f t="shared" si="0"/>
        <v>1671140.5548577209</v>
      </c>
      <c r="G22" s="46">
        <v>68856.86473786009</v>
      </c>
      <c r="H22" s="46">
        <f t="shared" si="1"/>
        <v>1602283.6901198607</v>
      </c>
      <c r="I22" s="104"/>
      <c r="J22" s="105">
        <v>0.7175354393142593</v>
      </c>
    </row>
    <row r="23" spans="1:9" s="17" customFormat="1" ht="12.75">
      <c r="A23" s="29" t="s">
        <v>71</v>
      </c>
      <c r="B23" s="26"/>
      <c r="C23" s="47">
        <f aca="true" t="shared" si="7" ref="C23:H23">SUM(C22)</f>
        <v>1705192.567918</v>
      </c>
      <c r="D23" s="47">
        <f t="shared" si="7"/>
        <v>32958.10464567</v>
      </c>
      <c r="E23" s="47">
        <f t="shared" si="7"/>
        <v>1093.9084146092498</v>
      </c>
      <c r="F23" s="47">
        <f t="shared" si="7"/>
        <v>1671140.5548577209</v>
      </c>
      <c r="G23" s="47">
        <f t="shared" si="7"/>
        <v>68856.86473786009</v>
      </c>
      <c r="H23" s="47">
        <f t="shared" si="7"/>
        <v>1602283.6901198607</v>
      </c>
      <c r="I23" s="107"/>
    </row>
    <row r="24" spans="1:10" ht="12.75">
      <c r="A24" s="27" t="s">
        <v>23</v>
      </c>
      <c r="B24" s="28">
        <v>4001</v>
      </c>
      <c r="C24" s="46">
        <f>'05_skema1-7'!J24</f>
        <v>302025.441</v>
      </c>
      <c r="D24" s="46">
        <v>7753.88008691</v>
      </c>
      <c r="E24" s="46">
        <v>0</v>
      </c>
      <c r="F24" s="2">
        <f t="shared" si="0"/>
        <v>294271.56091309</v>
      </c>
      <c r="G24" s="46">
        <v>11089.284878795033</v>
      </c>
      <c r="H24" s="46">
        <f t="shared" si="1"/>
        <v>283182.276034295</v>
      </c>
      <c r="I24" s="104"/>
      <c r="J24" s="105">
        <v>0.5683677912570981</v>
      </c>
    </row>
    <row r="25" spans="1:9" s="17" customFormat="1" ht="12.75">
      <c r="A25" s="29" t="s">
        <v>73</v>
      </c>
      <c r="B25" s="26"/>
      <c r="C25" s="47">
        <f aca="true" t="shared" si="8" ref="C25:H25">SUM(C24)</f>
        <v>302025.441</v>
      </c>
      <c r="D25" s="47">
        <f t="shared" si="8"/>
        <v>7753.88008691</v>
      </c>
      <c r="E25" s="47">
        <f t="shared" si="8"/>
        <v>0</v>
      </c>
      <c r="F25" s="47">
        <f t="shared" si="8"/>
        <v>294271.56091309</v>
      </c>
      <c r="G25" s="47">
        <f t="shared" si="8"/>
        <v>11089.284878795033</v>
      </c>
      <c r="H25" s="47">
        <f t="shared" si="8"/>
        <v>283182.276034295</v>
      </c>
      <c r="I25" s="107"/>
    </row>
    <row r="26" spans="1:10" ht="12.75">
      <c r="A26" s="27" t="s">
        <v>24</v>
      </c>
      <c r="B26" s="28">
        <v>4202</v>
      </c>
      <c r="C26" s="46">
        <f>'05_skema1-7'!J26</f>
        <v>3276427.047</v>
      </c>
      <c r="D26" s="46">
        <v>39850.996525</v>
      </c>
      <c r="E26" s="46">
        <v>41657.35197499999</v>
      </c>
      <c r="F26" s="2">
        <f t="shared" si="0"/>
        <v>3194918.6985</v>
      </c>
      <c r="G26" s="46">
        <v>242115.70284608417</v>
      </c>
      <c r="H26" s="46">
        <f t="shared" si="1"/>
        <v>2952802.9956539157</v>
      </c>
      <c r="I26" s="104"/>
      <c r="J26" s="105">
        <v>0.6435230066361037</v>
      </c>
    </row>
    <row r="27" spans="1:10" ht="12.75">
      <c r="A27" s="27" t="s">
        <v>25</v>
      </c>
      <c r="B27" s="28">
        <v>4212</v>
      </c>
      <c r="C27" s="46">
        <f>'05_skema1-7'!J27</f>
        <v>1020971.7479999999</v>
      </c>
      <c r="D27" s="46">
        <v>16117.21560852</v>
      </c>
      <c r="E27" s="46">
        <v>2529.1703303787494</v>
      </c>
      <c r="F27" s="2">
        <f t="shared" si="0"/>
        <v>1002325.3620611012</v>
      </c>
      <c r="G27" s="46">
        <v>12067.304055016211</v>
      </c>
      <c r="H27" s="46">
        <f t="shared" si="1"/>
        <v>990258.058006085</v>
      </c>
      <c r="I27" s="104"/>
      <c r="J27" s="105">
        <v>0.3547677534654862</v>
      </c>
    </row>
    <row r="28" spans="1:9" s="17" customFormat="1" ht="12.75">
      <c r="A28" s="29" t="s">
        <v>74</v>
      </c>
      <c r="B28" s="26"/>
      <c r="C28" s="47">
        <f aca="true" t="shared" si="9" ref="C28:H28">SUM(C26:C27)</f>
        <v>4297398.795</v>
      </c>
      <c r="D28" s="47">
        <f t="shared" si="9"/>
        <v>55968.212133520006</v>
      </c>
      <c r="E28" s="47">
        <f t="shared" si="9"/>
        <v>44186.52230537874</v>
      </c>
      <c r="F28" s="47">
        <f t="shared" si="9"/>
        <v>4197244.060561101</v>
      </c>
      <c r="G28" s="47">
        <f t="shared" si="9"/>
        <v>254183.0069011004</v>
      </c>
      <c r="H28" s="47">
        <f t="shared" si="9"/>
        <v>3943061.0536600007</v>
      </c>
      <c r="I28" s="107"/>
    </row>
    <row r="29" spans="1:10" ht="12.75">
      <c r="A29" s="27" t="s">
        <v>26</v>
      </c>
      <c r="B29" s="28">
        <v>5001</v>
      </c>
      <c r="C29" s="46">
        <f>'05_skema1-7'!J29</f>
        <v>787804.0209999998</v>
      </c>
      <c r="D29" s="46">
        <v>23136.106392259997</v>
      </c>
      <c r="E29" s="46">
        <v>0</v>
      </c>
      <c r="F29" s="2">
        <f t="shared" si="0"/>
        <v>764667.9146077399</v>
      </c>
      <c r="G29" s="46">
        <v>38827.999063999996</v>
      </c>
      <c r="H29" s="46">
        <f t="shared" si="1"/>
        <v>725839.9155437399</v>
      </c>
      <c r="I29" s="104"/>
      <c r="J29" s="105">
        <v>0.7038423331191299</v>
      </c>
    </row>
    <row r="30" spans="1:10" ht="12.75">
      <c r="A30" s="27" t="s">
        <v>27</v>
      </c>
      <c r="B30" s="28">
        <v>5002</v>
      </c>
      <c r="C30" s="46">
        <f>'05_skema1-7'!J30</f>
        <v>323023.23199999996</v>
      </c>
      <c r="D30" s="46">
        <v>8382.789525099999</v>
      </c>
      <c r="E30" s="46">
        <v>0</v>
      </c>
      <c r="F30" s="2">
        <f t="shared" si="0"/>
        <v>314640.4424749</v>
      </c>
      <c r="G30" s="46">
        <v>9511.874199176038</v>
      </c>
      <c r="H30" s="46">
        <f t="shared" si="1"/>
        <v>305128.56827572396</v>
      </c>
      <c r="I30" s="104"/>
      <c r="J30" s="105">
        <v>0.424747463426151</v>
      </c>
    </row>
    <row r="31" spans="1:10" ht="12.75">
      <c r="A31" s="27" t="s">
        <v>28</v>
      </c>
      <c r="B31" s="28">
        <v>5003</v>
      </c>
      <c r="C31" s="46">
        <f>'05_skema1-7'!J31</f>
        <v>70210.94399999999</v>
      </c>
      <c r="D31" s="46">
        <v>4023.10342293</v>
      </c>
      <c r="E31" s="46">
        <v>314.31560007824993</v>
      </c>
      <c r="F31" s="2">
        <f t="shared" si="0"/>
        <v>65873.52497699174</v>
      </c>
      <c r="G31" s="46">
        <v>2496.796104288302</v>
      </c>
      <c r="H31" s="46">
        <f t="shared" si="1"/>
        <v>63376.72887270344</v>
      </c>
      <c r="I31" s="104"/>
      <c r="J31" s="105">
        <v>0.5744871907211037</v>
      </c>
    </row>
    <row r="32" spans="1:10" ht="12.75">
      <c r="A32" s="27" t="s">
        <v>29</v>
      </c>
      <c r="B32" s="28">
        <v>5004</v>
      </c>
      <c r="C32" s="46">
        <f>'05_skema1-7'!J32</f>
        <v>420203.74</v>
      </c>
      <c r="D32" s="46">
        <v>1352.29867819</v>
      </c>
      <c r="E32" s="46">
        <v>0</v>
      </c>
      <c r="F32" s="2">
        <f t="shared" si="0"/>
        <v>418851.44132181</v>
      </c>
      <c r="G32" s="46">
        <v>33.081415134415224</v>
      </c>
      <c r="H32" s="46">
        <f t="shared" si="1"/>
        <v>418818.3599066756</v>
      </c>
      <c r="I32" s="104"/>
      <c r="J32" s="105">
        <v>0.24211612666776566</v>
      </c>
    </row>
    <row r="33" spans="1:9" s="17" customFormat="1" ht="12.75">
      <c r="A33" s="29" t="s">
        <v>75</v>
      </c>
      <c r="B33" s="26"/>
      <c r="C33" s="47">
        <f aca="true" t="shared" si="10" ref="C33:H33">SUM(C29:C32)</f>
        <v>1601241.9369999997</v>
      </c>
      <c r="D33" s="47">
        <f t="shared" si="10"/>
        <v>36894.298018479996</v>
      </c>
      <c r="E33" s="47">
        <f t="shared" si="10"/>
        <v>314.31560007824993</v>
      </c>
      <c r="F33" s="47">
        <f t="shared" si="10"/>
        <v>1564033.3233814416</v>
      </c>
      <c r="G33" s="47">
        <f t="shared" si="10"/>
        <v>50869.750782598756</v>
      </c>
      <c r="H33" s="47">
        <f t="shared" si="10"/>
        <v>1513163.572598843</v>
      </c>
      <c r="I33" s="107"/>
    </row>
    <row r="34" spans="1:10" ht="12.75">
      <c r="A34" s="27" t="s">
        <v>30</v>
      </c>
      <c r="B34" s="28">
        <v>5501</v>
      </c>
      <c r="C34" s="46">
        <f>'05_skema1-7'!J34</f>
        <v>1291103.3139999998</v>
      </c>
      <c r="D34" s="46">
        <v>18391.62888507</v>
      </c>
      <c r="E34" s="46">
        <v>4116.147582</v>
      </c>
      <c r="F34" s="2">
        <f t="shared" si="0"/>
        <v>1268595.5375329298</v>
      </c>
      <c r="G34" s="46">
        <v>53125.12137252041</v>
      </c>
      <c r="H34" s="46">
        <f t="shared" si="1"/>
        <v>1215470.4161604093</v>
      </c>
      <c r="I34" s="104"/>
      <c r="J34" s="105">
        <v>0.5694643502150708</v>
      </c>
    </row>
    <row r="35" spans="1:9" s="17" customFormat="1" ht="12.75">
      <c r="A35" s="29" t="s">
        <v>76</v>
      </c>
      <c r="B35" s="26"/>
      <c r="C35" s="47">
        <f aca="true" t="shared" si="11" ref="C35:H35">SUM(C34)</f>
        <v>1291103.3139999998</v>
      </c>
      <c r="D35" s="47">
        <f t="shared" si="11"/>
        <v>18391.62888507</v>
      </c>
      <c r="E35" s="47">
        <f t="shared" si="11"/>
        <v>4116.147582</v>
      </c>
      <c r="F35" s="47">
        <f t="shared" si="11"/>
        <v>1268595.5375329298</v>
      </c>
      <c r="G35" s="47">
        <f t="shared" si="11"/>
        <v>53125.12137252041</v>
      </c>
      <c r="H35" s="47">
        <f t="shared" si="11"/>
        <v>1215470.4161604093</v>
      </c>
      <c r="I35" s="107"/>
    </row>
    <row r="36" spans="1:10" ht="12.75">
      <c r="A36" s="27" t="s">
        <v>31</v>
      </c>
      <c r="B36" s="28">
        <v>6002</v>
      </c>
      <c r="C36" s="46">
        <f>'05_skema1-7'!J36</f>
        <v>95775.628</v>
      </c>
      <c r="D36" s="46">
        <v>972.33847988</v>
      </c>
      <c r="E36" s="46">
        <v>429.2266796767499</v>
      </c>
      <c r="F36" s="2">
        <f t="shared" si="0"/>
        <v>94374.06284044325</v>
      </c>
      <c r="G36" s="46">
        <v>6673.504865550256</v>
      </c>
      <c r="H36" s="46">
        <f t="shared" si="1"/>
        <v>87700.55797489299</v>
      </c>
      <c r="I36" s="104"/>
      <c r="J36" s="105">
        <v>0.8449429054963432</v>
      </c>
    </row>
    <row r="37" spans="1:10" ht="12.75">
      <c r="A37" s="27" t="s">
        <v>32</v>
      </c>
      <c r="B37" s="28">
        <v>6004</v>
      </c>
      <c r="C37" s="46">
        <f>'05_skema1-7'!J37</f>
        <v>111906.956</v>
      </c>
      <c r="D37" s="46">
        <v>5.6837726</v>
      </c>
      <c r="E37" s="46">
        <v>0</v>
      </c>
      <c r="F37" s="2">
        <f t="shared" si="0"/>
        <v>111901.27222740001</v>
      </c>
      <c r="G37" s="46">
        <v>540.2010547405393</v>
      </c>
      <c r="H37" s="46">
        <f t="shared" si="1"/>
        <v>111361.07117265947</v>
      </c>
      <c r="I37" s="104"/>
      <c r="J37" s="105">
        <v>0.2377303030216215</v>
      </c>
    </row>
    <row r="38" spans="1:10" ht="12.75">
      <c r="A38" s="27" t="s">
        <v>33</v>
      </c>
      <c r="B38" s="28">
        <v>6006</v>
      </c>
      <c r="C38" s="46">
        <f>'05_skema1-7'!J38</f>
        <v>445545.2959999999</v>
      </c>
      <c r="D38" s="46">
        <v>10695.25824274</v>
      </c>
      <c r="E38" s="46">
        <v>1324.8571530179995</v>
      </c>
      <c r="F38" s="2">
        <f t="shared" si="0"/>
        <v>433525.1806042419</v>
      </c>
      <c r="G38" s="46">
        <v>10228.281420421765</v>
      </c>
      <c r="H38" s="46">
        <f t="shared" si="1"/>
        <v>423296.8991838201</v>
      </c>
      <c r="I38" s="104"/>
      <c r="J38" s="105">
        <v>0.49366200592316317</v>
      </c>
    </row>
    <row r="39" spans="1:10" ht="12.75">
      <c r="A39" s="27" t="s">
        <v>34</v>
      </c>
      <c r="B39" s="28">
        <v>6007</v>
      </c>
      <c r="C39" s="46">
        <f>'05_skema1-7'!J39</f>
        <v>939745.9249999999</v>
      </c>
      <c r="D39" s="46">
        <v>17780.88168387</v>
      </c>
      <c r="E39" s="46">
        <v>687.2133191675</v>
      </c>
      <c r="F39" s="2">
        <f t="shared" si="0"/>
        <v>921277.8299969624</v>
      </c>
      <c r="G39" s="46">
        <v>43520.86146193169</v>
      </c>
      <c r="H39" s="46">
        <f t="shared" si="1"/>
        <v>877756.9685350307</v>
      </c>
      <c r="I39" s="104"/>
      <c r="J39" s="108" t="s">
        <v>93</v>
      </c>
    </row>
    <row r="40" spans="1:10" ht="12.75">
      <c r="A40" s="27" t="s">
        <v>35</v>
      </c>
      <c r="B40" s="28">
        <v>6008</v>
      </c>
      <c r="C40" s="46">
        <f>'05_skema1-7'!J40</f>
        <v>840685.3570000001</v>
      </c>
      <c r="D40" s="46">
        <v>16241.58688714</v>
      </c>
      <c r="E40" s="46">
        <v>7539.866999999999</v>
      </c>
      <c r="F40" s="2">
        <f t="shared" si="0"/>
        <v>816903.9031128602</v>
      </c>
      <c r="G40" s="46">
        <v>110130.2366277838</v>
      </c>
      <c r="H40" s="46">
        <f t="shared" si="1"/>
        <v>706773.6664850763</v>
      </c>
      <c r="I40" s="104"/>
      <c r="J40" s="105">
        <v>0.8190032401601867</v>
      </c>
    </row>
    <row r="41" spans="1:10" ht="12.75">
      <c r="A41" s="27" t="s">
        <v>36</v>
      </c>
      <c r="B41" s="28">
        <v>6014</v>
      </c>
      <c r="C41" s="46">
        <f>'05_skema1-7'!J41</f>
        <v>36220.07899999999</v>
      </c>
      <c r="D41" s="46">
        <v>0</v>
      </c>
      <c r="E41" s="46">
        <v>0</v>
      </c>
      <c r="F41" s="2">
        <f t="shared" si="0"/>
        <v>36220.07899999999</v>
      </c>
      <c r="G41" s="46">
        <v>1068.1481225040002</v>
      </c>
      <c r="H41" s="46">
        <f t="shared" si="1"/>
        <v>35151.93087749599</v>
      </c>
      <c r="I41" s="104"/>
      <c r="J41" s="105">
        <v>1</v>
      </c>
    </row>
    <row r="42" spans="1:9" s="17" customFormat="1" ht="12.75">
      <c r="A42" s="29" t="s">
        <v>77</v>
      </c>
      <c r="B42" s="26"/>
      <c r="C42" s="47">
        <f aca="true" t="shared" si="12" ref="C42:H42">SUM(C36:C41)</f>
        <v>2469879.2409999995</v>
      </c>
      <c r="D42" s="47">
        <f t="shared" si="12"/>
        <v>45695.74906623</v>
      </c>
      <c r="E42" s="47">
        <f t="shared" si="12"/>
        <v>9981.16415186225</v>
      </c>
      <c r="F42" s="47">
        <f t="shared" si="12"/>
        <v>2414202.3277819073</v>
      </c>
      <c r="G42" s="47">
        <f t="shared" si="12"/>
        <v>172161.23355293204</v>
      </c>
      <c r="H42" s="47">
        <f t="shared" si="12"/>
        <v>2242041.094228976</v>
      </c>
      <c r="I42" s="107"/>
    </row>
    <row r="43" spans="1:10" ht="12.75">
      <c r="A43" s="27" t="s">
        <v>37</v>
      </c>
      <c r="B43" s="28">
        <v>6501</v>
      </c>
      <c r="C43" s="46">
        <f>'05_skema1-7'!J43</f>
        <v>711689.482</v>
      </c>
      <c r="D43" s="46">
        <v>15349.699624879999</v>
      </c>
      <c r="E43" s="46">
        <v>2917.1919999999996</v>
      </c>
      <c r="F43" s="2">
        <f t="shared" si="0"/>
        <v>693422.5903751199</v>
      </c>
      <c r="G43" s="46">
        <v>43147.2274216</v>
      </c>
      <c r="H43" s="46">
        <f t="shared" si="1"/>
        <v>650275.3629535199</v>
      </c>
      <c r="I43" s="104"/>
      <c r="J43" s="105">
        <v>0.8274843333527429</v>
      </c>
    </row>
    <row r="44" spans="1:10" ht="12.75">
      <c r="A44" s="27" t="s">
        <v>38</v>
      </c>
      <c r="B44" s="28">
        <v>6502</v>
      </c>
      <c r="C44" s="46">
        <f>'05_skema1-7'!J44</f>
        <v>658613.9419999999</v>
      </c>
      <c r="D44" s="46">
        <v>18982.99958877</v>
      </c>
      <c r="E44" s="46">
        <v>2508.124</v>
      </c>
      <c r="F44" s="2">
        <f t="shared" si="0"/>
        <v>637122.81841123</v>
      </c>
      <c r="G44" s="46">
        <v>32820.94620729326</v>
      </c>
      <c r="H44" s="46">
        <f t="shared" si="1"/>
        <v>604301.8722039367</v>
      </c>
      <c r="I44" s="104"/>
      <c r="J44" s="105">
        <v>0.7516143624376148</v>
      </c>
    </row>
    <row r="45" spans="1:10" ht="12.75">
      <c r="A45" s="27" t="s">
        <v>39</v>
      </c>
      <c r="B45" s="28">
        <v>6503</v>
      </c>
      <c r="C45" s="46">
        <f>'05_skema1-7'!J45</f>
        <v>45643.104999999996</v>
      </c>
      <c r="D45" s="46">
        <v>680.60593352</v>
      </c>
      <c r="E45" s="46">
        <v>307.834</v>
      </c>
      <c r="F45" s="2">
        <f t="shared" si="0"/>
        <v>44654.665066479996</v>
      </c>
      <c r="G45" s="46">
        <v>2.760436029407381</v>
      </c>
      <c r="H45" s="46">
        <f t="shared" si="1"/>
        <v>44651.90463045059</v>
      </c>
      <c r="I45" s="104"/>
      <c r="J45" s="105">
        <v>0.00521246544055776</v>
      </c>
    </row>
    <row r="46" spans="1:10" ht="12.75">
      <c r="A46" s="27" t="s">
        <v>40</v>
      </c>
      <c r="B46" s="28">
        <v>6504</v>
      </c>
      <c r="C46" s="46">
        <f>'05_skema1-7'!J46</f>
        <v>91593.01099999998</v>
      </c>
      <c r="D46" s="46">
        <v>1502.9444874199999</v>
      </c>
      <c r="E46" s="46">
        <v>549.5559999999999</v>
      </c>
      <c r="F46" s="2">
        <f t="shared" si="0"/>
        <v>89540.51051257999</v>
      </c>
      <c r="G46" s="46">
        <v>5.872393972422102</v>
      </c>
      <c r="H46" s="46">
        <f t="shared" si="1"/>
        <v>89534.63811860757</v>
      </c>
      <c r="I46" s="104"/>
      <c r="J46" s="105">
        <v>0.0053576692856868195</v>
      </c>
    </row>
    <row r="47" spans="1:10" ht="12.75">
      <c r="A47" s="27" t="s">
        <v>41</v>
      </c>
      <c r="B47" s="28">
        <v>6505</v>
      </c>
      <c r="C47" s="46">
        <f>'05_skema1-7'!J47</f>
        <v>52372.066999999995</v>
      </c>
      <c r="D47" s="46">
        <v>2254.05503651</v>
      </c>
      <c r="E47" s="46">
        <v>217.963</v>
      </c>
      <c r="F47" s="2">
        <f t="shared" si="0"/>
        <v>49900.04896348999</v>
      </c>
      <c r="G47" s="46">
        <v>11.729515647996019</v>
      </c>
      <c r="H47" s="46">
        <f t="shared" si="1"/>
        <v>49888.319447842</v>
      </c>
      <c r="I47" s="104"/>
      <c r="J47" s="105">
        <v>0.04121945975072991</v>
      </c>
    </row>
    <row r="48" spans="1:9" s="17" customFormat="1" ht="12.75">
      <c r="A48" s="29" t="s">
        <v>78</v>
      </c>
      <c r="B48" s="26"/>
      <c r="C48" s="47">
        <f aca="true" t="shared" si="13" ref="C48:H48">SUM(C43:C47)</f>
        <v>1559911.6069999998</v>
      </c>
      <c r="D48" s="47">
        <f t="shared" si="13"/>
        <v>38770.30467109999</v>
      </c>
      <c r="E48" s="47">
        <f t="shared" si="13"/>
        <v>6500.668999999998</v>
      </c>
      <c r="F48" s="47">
        <f t="shared" si="13"/>
        <v>1514640.6333288997</v>
      </c>
      <c r="G48" s="47">
        <f t="shared" si="13"/>
        <v>75988.53597454308</v>
      </c>
      <c r="H48" s="47">
        <f t="shared" si="13"/>
        <v>1438652.0973543567</v>
      </c>
      <c r="I48" s="107"/>
    </row>
    <row r="49" spans="1:10" ht="12.75">
      <c r="A49" s="27" t="s">
        <v>42</v>
      </c>
      <c r="B49" s="28">
        <v>7002</v>
      </c>
      <c r="C49" s="46">
        <f>'05_skema1-7'!J49</f>
        <v>480881.127</v>
      </c>
      <c r="D49" s="46">
        <v>18228.840470739997</v>
      </c>
      <c r="E49" s="46">
        <v>0</v>
      </c>
      <c r="F49" s="2">
        <f t="shared" si="0"/>
        <v>462652.28652926</v>
      </c>
      <c r="G49" s="46">
        <v>2727.043233558761</v>
      </c>
      <c r="H49" s="46">
        <f t="shared" si="1"/>
        <v>459925.2432957012</v>
      </c>
      <c r="I49" s="104"/>
      <c r="J49" s="105">
        <v>0.25884868608662603</v>
      </c>
    </row>
    <row r="50" spans="1:10" ht="12.75">
      <c r="A50" s="27" t="s">
        <v>43</v>
      </c>
      <c r="B50" s="28">
        <v>7003</v>
      </c>
      <c r="C50" s="46">
        <f>'05_skema1-7'!J50</f>
        <v>2611320.6999999993</v>
      </c>
      <c r="D50" s="46">
        <v>47926.42312909</v>
      </c>
      <c r="E50" s="46">
        <v>87458.94499999999</v>
      </c>
      <c r="F50" s="2">
        <f t="shared" si="0"/>
        <v>2475935.3318709093</v>
      </c>
      <c r="G50" s="46">
        <v>126242.45738598489</v>
      </c>
      <c r="H50" s="46">
        <f t="shared" si="1"/>
        <v>2349692.8744849246</v>
      </c>
      <c r="I50" s="104"/>
      <c r="J50" s="105">
        <v>0.48525270524417724</v>
      </c>
    </row>
    <row r="51" spans="1:10" ht="12.75">
      <c r="A51" s="27" t="s">
        <v>44</v>
      </c>
      <c r="B51" s="28">
        <v>7005</v>
      </c>
      <c r="C51" s="46">
        <f>'05_skema1-7'!J51</f>
        <v>795487.475</v>
      </c>
      <c r="D51" s="46">
        <v>28762.550394989994</v>
      </c>
      <c r="E51" s="46">
        <v>0</v>
      </c>
      <c r="F51" s="2">
        <f t="shared" si="0"/>
        <v>766724.92460501</v>
      </c>
      <c r="G51" s="46">
        <v>6248.7592359521095</v>
      </c>
      <c r="H51" s="46">
        <f t="shared" si="1"/>
        <v>760476.1653690578</v>
      </c>
      <c r="I51" s="104"/>
      <c r="J51" s="105">
        <v>0.2475791125205205</v>
      </c>
    </row>
    <row r="52" spans="1:10" ht="12.75">
      <c r="A52" s="27" t="s">
        <v>45</v>
      </c>
      <c r="B52" s="28">
        <v>7026</v>
      </c>
      <c r="C52" s="46">
        <f>'05_skema1-7'!J52</f>
        <v>1645196.0869999998</v>
      </c>
      <c r="D52" s="46">
        <v>846.85628207</v>
      </c>
      <c r="E52" s="46">
        <v>35788.284999999996</v>
      </c>
      <c r="F52" s="2">
        <f t="shared" si="0"/>
        <v>1608560.9457179299</v>
      </c>
      <c r="G52" s="46">
        <v>202284.32795958634</v>
      </c>
      <c r="H52" s="46">
        <f t="shared" si="1"/>
        <v>1406276.6177583435</v>
      </c>
      <c r="I52" s="104"/>
      <c r="J52" s="105">
        <v>0.7766332907082747</v>
      </c>
    </row>
    <row r="53" spans="1:9" s="17" customFormat="1" ht="12.75">
      <c r="A53" s="29" t="s">
        <v>79</v>
      </c>
      <c r="B53" s="26"/>
      <c r="C53" s="47">
        <f aca="true" t="shared" si="14" ref="C53:H53">SUM(C49:C52)</f>
        <v>5532885.388999999</v>
      </c>
      <c r="D53" s="47">
        <f t="shared" si="14"/>
        <v>95764.67027689</v>
      </c>
      <c r="E53" s="47">
        <f t="shared" si="14"/>
        <v>123247.22999999998</v>
      </c>
      <c r="F53" s="47">
        <f t="shared" si="14"/>
        <v>5313873.4887231095</v>
      </c>
      <c r="G53" s="47">
        <f t="shared" si="14"/>
        <v>337502.5878150821</v>
      </c>
      <c r="H53" s="47">
        <f t="shared" si="14"/>
        <v>4976370.900908027</v>
      </c>
      <c r="I53" s="107"/>
    </row>
    <row r="54" spans="1:10" ht="12.75">
      <c r="A54" s="27" t="s">
        <v>46</v>
      </c>
      <c r="B54" s="28">
        <v>7601</v>
      </c>
      <c r="C54" s="46">
        <f>'05_skema1-7'!J54</f>
        <v>1228548.966</v>
      </c>
      <c r="D54" s="46">
        <v>19293.43691405</v>
      </c>
      <c r="E54" s="46">
        <v>1783.3748922002496</v>
      </c>
      <c r="F54" s="2">
        <f t="shared" si="0"/>
        <v>1207472.1541937497</v>
      </c>
      <c r="G54" s="46">
        <v>64296.76891452869</v>
      </c>
      <c r="H54" s="46">
        <f t="shared" si="1"/>
        <v>1143175.385279221</v>
      </c>
      <c r="I54" s="104"/>
      <c r="J54" s="105">
        <v>0.7516857606160352</v>
      </c>
    </row>
    <row r="55" spans="1:10" ht="12.75">
      <c r="A55" s="27" t="s">
        <v>47</v>
      </c>
      <c r="B55" s="28">
        <v>7603</v>
      </c>
      <c r="C55" s="46">
        <f>'05_skema1-7'!J55</f>
        <v>344066.47500000003</v>
      </c>
      <c r="D55" s="46">
        <v>10994.09550485</v>
      </c>
      <c r="E55" s="46">
        <v>448.3785262764999</v>
      </c>
      <c r="F55" s="2">
        <f t="shared" si="0"/>
        <v>332624.00096887356</v>
      </c>
      <c r="G55" s="46">
        <v>3836.850420990112</v>
      </c>
      <c r="H55" s="46">
        <f t="shared" si="1"/>
        <v>328787.1505478835</v>
      </c>
      <c r="I55" s="104"/>
      <c r="J55" s="105">
        <v>0.5043838179264617</v>
      </c>
    </row>
    <row r="56" spans="1:9" s="17" customFormat="1" ht="12.75">
      <c r="A56" s="29" t="s">
        <v>80</v>
      </c>
      <c r="B56" s="26"/>
      <c r="C56" s="47">
        <f aca="true" t="shared" si="15" ref="C56:H56">SUM(C54:C55)</f>
        <v>1572615.441</v>
      </c>
      <c r="D56" s="47">
        <f t="shared" si="15"/>
        <v>30287.5324189</v>
      </c>
      <c r="E56" s="47">
        <f t="shared" si="15"/>
        <v>2231.7534184767496</v>
      </c>
      <c r="F56" s="47">
        <f t="shared" si="15"/>
        <v>1540096.1551626232</v>
      </c>
      <c r="G56" s="47">
        <f t="shared" si="15"/>
        <v>68133.6193355188</v>
      </c>
      <c r="H56" s="47">
        <f t="shared" si="15"/>
        <v>1471962.5358271045</v>
      </c>
      <c r="I56" s="107"/>
    </row>
    <row r="57" spans="1:11" ht="12.75">
      <c r="A57" s="27" t="s">
        <v>48</v>
      </c>
      <c r="B57" s="28">
        <v>8001</v>
      </c>
      <c r="C57" s="46">
        <f>'05_skema1-7'!J57</f>
        <v>2347674.3389999997</v>
      </c>
      <c r="D57" s="46">
        <v>37122</v>
      </c>
      <c r="E57" s="46">
        <v>47621</v>
      </c>
      <c r="F57" s="2">
        <f t="shared" si="0"/>
        <v>2262931.3389999997</v>
      </c>
      <c r="G57" s="46">
        <v>105666</v>
      </c>
      <c r="H57" s="46">
        <f t="shared" si="1"/>
        <v>2157265.3389999997</v>
      </c>
      <c r="I57" s="109"/>
      <c r="J57" s="105">
        <v>0.5177222497035463</v>
      </c>
      <c r="K57" s="46"/>
    </row>
    <row r="58" spans="1:11" ht="12.75">
      <c r="A58" s="27" t="s">
        <v>49</v>
      </c>
      <c r="B58" s="28">
        <v>8003</v>
      </c>
      <c r="C58" s="46">
        <f>'05_skema1-7'!J58</f>
        <v>700887.1959999999</v>
      </c>
      <c r="D58" s="46">
        <v>15159</v>
      </c>
      <c r="E58" s="46">
        <v>0</v>
      </c>
      <c r="F58" s="2">
        <f>C58-D58-E58</f>
        <v>685728.1959999999</v>
      </c>
      <c r="G58" s="46">
        <v>12501</v>
      </c>
      <c r="H58" s="46">
        <f>F58-G58</f>
        <v>673227.1959999999</v>
      </c>
      <c r="I58" s="109"/>
      <c r="J58" s="105">
        <v>0.485443844627263</v>
      </c>
      <c r="K58" s="46"/>
    </row>
    <row r="59" spans="1:11" ht="12.75">
      <c r="A59" s="30" t="s">
        <v>50</v>
      </c>
      <c r="B59" s="31">
        <v>8005</v>
      </c>
      <c r="C59" s="46">
        <f>'05_skema1-7'!J59</f>
        <v>173373.717</v>
      </c>
      <c r="D59" s="46">
        <v>0</v>
      </c>
      <c r="E59" s="46">
        <v>0</v>
      </c>
      <c r="F59" s="2">
        <f t="shared" si="0"/>
        <v>173373.717</v>
      </c>
      <c r="G59" s="46">
        <v>190</v>
      </c>
      <c r="H59" s="46">
        <f t="shared" si="1"/>
        <v>173183.717</v>
      </c>
      <c r="I59" s="109"/>
      <c r="J59" s="105">
        <v>0.046925768578859224</v>
      </c>
      <c r="K59" s="46"/>
    </row>
    <row r="60" spans="1:11" ht="12.75">
      <c r="A60" s="30" t="s">
        <v>51</v>
      </c>
      <c r="B60" s="31">
        <v>8040</v>
      </c>
      <c r="C60" s="46">
        <f>'05_skema1-7'!J60</f>
        <v>509198.7679999999</v>
      </c>
      <c r="D60" s="46">
        <v>0</v>
      </c>
      <c r="E60" s="46">
        <v>0</v>
      </c>
      <c r="F60" s="2">
        <f t="shared" si="0"/>
        <v>509198.7679999999</v>
      </c>
      <c r="G60" s="46">
        <v>1273</v>
      </c>
      <c r="H60" s="46">
        <f t="shared" si="1"/>
        <v>507925.7679999999</v>
      </c>
      <c r="I60" s="109"/>
      <c r="J60" s="105">
        <v>0.22621191588878165</v>
      </c>
      <c r="K60" s="46"/>
    </row>
    <row r="61" spans="1:11" s="111" customFormat="1" ht="12.75">
      <c r="A61" s="32" t="s">
        <v>81</v>
      </c>
      <c r="B61" s="20"/>
      <c r="C61" s="51">
        <f aca="true" t="shared" si="16" ref="C61:H61">SUM(C57:C60)</f>
        <v>3731134.0199999996</v>
      </c>
      <c r="D61" s="51">
        <f t="shared" si="16"/>
        <v>52281</v>
      </c>
      <c r="E61" s="51">
        <f t="shared" si="16"/>
        <v>47621</v>
      </c>
      <c r="F61" s="51">
        <f t="shared" si="16"/>
        <v>3631232.0199999996</v>
      </c>
      <c r="G61" s="51">
        <f t="shared" si="16"/>
        <v>119630</v>
      </c>
      <c r="H61" s="51">
        <f t="shared" si="16"/>
        <v>3511602.0199999996</v>
      </c>
      <c r="I61" s="109"/>
      <c r="J61" s="110"/>
      <c r="K61" s="46"/>
    </row>
    <row r="62" spans="1:10" s="115" customFormat="1" ht="12.75">
      <c r="A62" s="77" t="s">
        <v>52</v>
      </c>
      <c r="B62" s="77"/>
      <c r="C62" s="112">
        <f aca="true" t="shared" si="17" ref="C62:H62">C9+C14+C16+C19+C21+C23+C25+C28+C33+C35+C42+C48+C53+C56+C61</f>
        <v>42197098.447918</v>
      </c>
      <c r="D62" s="112">
        <f t="shared" si="17"/>
        <v>524431.26649276</v>
      </c>
      <c r="E62" s="112">
        <f t="shared" si="17"/>
        <v>488369.50791074464</v>
      </c>
      <c r="F62" s="112">
        <f t="shared" si="17"/>
        <v>41184297.6735145</v>
      </c>
      <c r="G62" s="112">
        <f t="shared" si="17"/>
        <v>2275334.386032459</v>
      </c>
      <c r="H62" s="112">
        <f t="shared" si="17"/>
        <v>38908963.28748204</v>
      </c>
      <c r="I62" s="113"/>
      <c r="J62" s="114"/>
    </row>
    <row r="63" spans="3:8" ht="12.75">
      <c r="C63" s="106"/>
      <c r="D63" s="106"/>
      <c r="E63" s="106"/>
      <c r="F63" s="106"/>
      <c r="G63" s="106"/>
      <c r="H63" s="106"/>
    </row>
    <row r="64" spans="1:6" ht="12.75" customHeight="1">
      <c r="A64" s="27" t="s">
        <v>88</v>
      </c>
      <c r="F64" s="10"/>
    </row>
    <row r="65" ht="12.75">
      <c r="F65" s="10"/>
    </row>
    <row r="66" ht="12.75">
      <c r="F66" s="10"/>
    </row>
    <row r="67" spans="1:6" ht="12.75">
      <c r="A67" s="116" t="s">
        <v>120</v>
      </c>
      <c r="F67" s="10"/>
    </row>
    <row r="68" spans="1:10" ht="12.75">
      <c r="A68" s="117" t="s">
        <v>115</v>
      </c>
      <c r="C68" s="46">
        <f>SUM(C4:C8,C10:C13,C15,C24)</f>
        <v>14964153.695999995</v>
      </c>
      <c r="D68" s="46">
        <f>SUM(D4:D8,D10:D13,D15,D24)</f>
        <v>58566.26458898</v>
      </c>
      <c r="E68" s="46">
        <f>SUM(E4:E8,E10:E13,E15,E24)</f>
        <v>247809.3958251207</v>
      </c>
      <c r="F68" s="46">
        <f>C68-D68-E68</f>
        <v>14657778.035585893</v>
      </c>
      <c r="G68" s="46">
        <f>SUM(G4:G8,G10:G13,G15,G24)</f>
        <v>970432.6491185089</v>
      </c>
      <c r="H68" s="46">
        <f>F68-G68</f>
        <v>13687345.386467384</v>
      </c>
      <c r="I68" s="46"/>
      <c r="J68" s="46"/>
    </row>
    <row r="69" spans="1:10" ht="12.75">
      <c r="A69" s="117" t="s">
        <v>116</v>
      </c>
      <c r="C69" s="46">
        <f>SUM(C17:C18,C20,C22)</f>
        <v>5176775.007917999</v>
      </c>
      <c r="D69" s="46">
        <f>SUM(D17:D18,D20,D22)</f>
        <v>91811.60643359</v>
      </c>
      <c r="E69" s="46">
        <f>SUM(E17:E18,E20,E22)</f>
        <v>2361.3100278279994</v>
      </c>
      <c r="F69" s="46">
        <f>C69-D69-E69</f>
        <v>5082602.091456581</v>
      </c>
      <c r="G69" s="46">
        <f>SUM(G17:G18,G20,G22)</f>
        <v>173307.88117965392</v>
      </c>
      <c r="H69" s="46">
        <f>F69-G69</f>
        <v>4909294.210276927</v>
      </c>
      <c r="I69" s="46"/>
      <c r="J69" s="46"/>
    </row>
    <row r="70" spans="1:10" ht="12.75">
      <c r="A70" s="117" t="s">
        <v>117</v>
      </c>
      <c r="C70" s="46">
        <f>SUM(C26:C27,C29:C32,C34,C37,C39:C41)</f>
        <v>9118302.363</v>
      </c>
      <c r="D70" s="46">
        <f>SUM(D26:D27,D29:D32,D34,D37,D39:D41)</f>
        <v>145282.29138068</v>
      </c>
      <c r="E70" s="46">
        <f>SUM(E26:E27,E29:E32,E34,E37,E39:E41)</f>
        <v>56844.06580662449</v>
      </c>
      <c r="F70" s="46">
        <f>C70-D70-E70</f>
        <v>8916176.005812695</v>
      </c>
      <c r="G70" s="46">
        <f>SUM(G26:G27,G29:G32,G34,G37,G39:G41)</f>
        <v>513437.3263231795</v>
      </c>
      <c r="H70" s="46">
        <f>F70-G70</f>
        <v>8402738.679489516</v>
      </c>
      <c r="I70" s="46"/>
      <c r="J70" s="46"/>
    </row>
    <row r="71" spans="1:10" ht="12.75">
      <c r="A71" s="117" t="s">
        <v>118</v>
      </c>
      <c r="C71" s="46">
        <f>SUM(C36,C38,C43:C47,C49:C52,C54)</f>
        <v>8862666.885999998</v>
      </c>
      <c r="D71" s="46">
        <f>SUM(D36,D38,D43:D47,D49:D52,D54)</f>
        <v>165496.00858465995</v>
      </c>
      <c r="E71" s="46">
        <f>SUM(E36,E38,E43:E47,E49:E52,E54)</f>
        <v>133285.357724895</v>
      </c>
      <c r="F71" s="46">
        <f>C71-D71-E71</f>
        <v>8563885.519690443</v>
      </c>
      <c r="G71" s="46">
        <f>SUM(G36,G38,G43:G47,G49:G52,G54)</f>
        <v>494689.67899012595</v>
      </c>
      <c r="H71" s="46">
        <f>F71-G71</f>
        <v>8069195.840700317</v>
      </c>
      <c r="I71" s="46"/>
      <c r="J71" s="46"/>
    </row>
    <row r="72" spans="1:10" ht="12.75">
      <c r="A72" s="117" t="s">
        <v>119</v>
      </c>
      <c r="C72" s="46">
        <f>SUM(C55,C57:C60)</f>
        <v>4075200.495</v>
      </c>
      <c r="D72" s="46">
        <f>SUM(D55,D57:D60)</f>
        <v>63275.09550485</v>
      </c>
      <c r="E72" s="46">
        <f>SUM(E55,E57:E60)</f>
        <v>48069.3785262765</v>
      </c>
      <c r="F72" s="46">
        <f>C72-D72-E72</f>
        <v>3963856.0209688735</v>
      </c>
      <c r="G72" s="46">
        <f>SUM(G55,G57:G60)</f>
        <v>123466.85042099011</v>
      </c>
      <c r="H72" s="46">
        <f>F72-G72</f>
        <v>3840389.1705478835</v>
      </c>
      <c r="I72" s="46"/>
      <c r="J72" s="46"/>
    </row>
    <row r="73" ht="12.75">
      <c r="F73" s="10"/>
    </row>
    <row r="74" ht="12.75">
      <c r="F74" s="10"/>
    </row>
    <row r="75" ht="12.75">
      <c r="F75" s="10"/>
    </row>
    <row r="76" ht="12.75">
      <c r="F76" s="10"/>
    </row>
    <row r="77" ht="12.75">
      <c r="F77" s="10"/>
    </row>
    <row r="78" ht="12.75">
      <c r="F78" s="10"/>
    </row>
    <row r="79" ht="12.75">
      <c r="F79" s="10"/>
    </row>
    <row r="80" ht="12.75">
      <c r="F80" s="10"/>
    </row>
    <row r="81" ht="12.75">
      <c r="F81" s="10"/>
    </row>
    <row r="82" ht="12.75">
      <c r="F82" s="10"/>
    </row>
    <row r="83" ht="12.75">
      <c r="F83" s="10"/>
    </row>
    <row r="84" ht="12.75">
      <c r="F84" s="10"/>
    </row>
    <row r="85" ht="12.75">
      <c r="F85" s="10"/>
    </row>
    <row r="86" ht="12.75">
      <c r="F86" s="10"/>
    </row>
    <row r="87" ht="12.75">
      <c r="F87" s="10"/>
    </row>
    <row r="88" ht="12.75">
      <c r="F88" s="10"/>
    </row>
    <row r="89" ht="12.75">
      <c r="F89" s="10"/>
    </row>
    <row r="90" ht="12.75">
      <c r="F90" s="10"/>
    </row>
    <row r="91" ht="12.75">
      <c r="F91" s="10"/>
    </row>
    <row r="92" ht="12.75">
      <c r="F92" s="10"/>
    </row>
    <row r="93" ht="12.75">
      <c r="F93" s="10"/>
    </row>
  </sheetData>
  <sheetProtection/>
  <printOptions/>
  <pageMargins left="0.7874015748031497" right="0.7874015748031497" top="0.7874015748031497" bottom="0.7874015748031497" header="0" footer="0"/>
  <pageSetup horizontalDpi="600" verticalDpi="600" orientation="landscape" paperSize="9" r:id="rId1"/>
  <headerFooter alignWithMargins="0">
    <oddFooter>&amp;C&amp;P af &amp;N</oddFooter>
  </headerFooter>
  <ignoredErrors>
    <ignoredError sqref="F62 H64:H67 H59 H62 H10:H57 F9:F57 F59 F68:F7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22.28125" style="9" customWidth="1"/>
    <col min="2" max="2" width="4.421875" style="9" customWidth="1"/>
    <col min="3" max="9" width="10.00390625" style="43" customWidth="1"/>
    <col min="10" max="10" width="13.8515625" style="9" customWidth="1"/>
    <col min="11" max="16384" width="9.140625" style="9" customWidth="1"/>
  </cols>
  <sheetData>
    <row r="1" spans="1:10" ht="12.75">
      <c r="A1" s="18" t="s">
        <v>0</v>
      </c>
      <c r="B1" s="18"/>
      <c r="C1" s="19"/>
      <c r="D1" s="41"/>
      <c r="E1" s="41"/>
      <c r="F1" s="41"/>
      <c r="G1" s="41"/>
      <c r="H1" s="41"/>
      <c r="I1" s="41"/>
      <c r="J1" s="33"/>
    </row>
    <row r="2" spans="1:10" ht="12.75">
      <c r="A2" s="99"/>
      <c r="B2" s="99"/>
      <c r="C2" s="42"/>
      <c r="D2" s="1"/>
      <c r="E2" s="1"/>
      <c r="F2" s="1"/>
      <c r="G2" s="1"/>
      <c r="H2" s="1"/>
      <c r="I2" s="1"/>
      <c r="J2" s="2"/>
    </row>
    <row r="3" spans="1:10" ht="72" customHeight="1">
      <c r="A3" s="3" t="s">
        <v>1</v>
      </c>
      <c r="B3" s="4" t="s">
        <v>66</v>
      </c>
      <c r="C3" s="4" t="s">
        <v>2</v>
      </c>
      <c r="D3" s="4" t="s">
        <v>3</v>
      </c>
      <c r="E3" s="4" t="s">
        <v>4</v>
      </c>
      <c r="F3" s="5" t="s">
        <v>5</v>
      </c>
      <c r="G3" s="4" t="s">
        <v>6</v>
      </c>
      <c r="H3" s="4" t="s">
        <v>7</v>
      </c>
      <c r="I3" s="4" t="s">
        <v>8</v>
      </c>
      <c r="J3" s="5" t="s">
        <v>54</v>
      </c>
    </row>
    <row r="4" spans="1:10" ht="12.75">
      <c r="A4" s="27" t="s">
        <v>9</v>
      </c>
      <c r="B4" s="28">
        <v>1301</v>
      </c>
      <c r="C4" s="2">
        <v>2252344</v>
      </c>
      <c r="D4" s="2">
        <v>0</v>
      </c>
      <c r="E4" s="2">
        <v>118718</v>
      </c>
      <c r="F4" s="6">
        <v>31173</v>
      </c>
      <c r="G4" s="2">
        <v>20139</v>
      </c>
      <c r="H4" s="2">
        <v>-2048677</v>
      </c>
      <c r="I4" s="2">
        <v>0</v>
      </c>
      <c r="J4" s="6">
        <f>((C4+D4+E4)-(F4+G4+H4+I4))</f>
        <v>4368427</v>
      </c>
    </row>
    <row r="5" spans="1:10" ht="12.75">
      <c r="A5" s="27" t="s">
        <v>10</v>
      </c>
      <c r="B5" s="28">
        <v>1309</v>
      </c>
      <c r="C5" s="2">
        <v>1264243</v>
      </c>
      <c r="D5" s="2">
        <v>0</v>
      </c>
      <c r="E5" s="2">
        <v>26469</v>
      </c>
      <c r="F5" s="6">
        <v>135700</v>
      </c>
      <c r="G5" s="2">
        <v>5903</v>
      </c>
      <c r="H5" s="2">
        <v>-42192</v>
      </c>
      <c r="I5" s="2">
        <v>6515</v>
      </c>
      <c r="J5" s="6">
        <f>((C5+D5+E5)-(F5+G5+H5+I5))</f>
        <v>1184786</v>
      </c>
    </row>
    <row r="6" spans="1:10" ht="12.75">
      <c r="A6" s="27" t="s">
        <v>11</v>
      </c>
      <c r="B6" s="28">
        <v>1330</v>
      </c>
      <c r="C6" s="2">
        <v>1221501</v>
      </c>
      <c r="D6" s="2">
        <v>0</v>
      </c>
      <c r="E6" s="2">
        <v>20242</v>
      </c>
      <c r="F6" s="6">
        <v>180677</v>
      </c>
      <c r="G6" s="2">
        <v>3869</v>
      </c>
      <c r="H6" s="2">
        <v>-468367</v>
      </c>
      <c r="I6" s="2">
        <v>-1383</v>
      </c>
      <c r="J6" s="6">
        <f>((C6+D6+E6)-(F6+G6+H6+I6))</f>
        <v>1526947</v>
      </c>
    </row>
    <row r="7" spans="1:10" ht="12.75">
      <c r="A7" s="27" t="s">
        <v>12</v>
      </c>
      <c r="B7" s="28">
        <v>1351</v>
      </c>
      <c r="C7" s="2">
        <v>395028.429</v>
      </c>
      <c r="D7" s="2">
        <v>0</v>
      </c>
      <c r="E7" s="2">
        <v>3994.712</v>
      </c>
      <c r="F7" s="6">
        <v>23909.3</v>
      </c>
      <c r="G7" s="2">
        <v>335.243</v>
      </c>
      <c r="H7" s="2">
        <v>13919.956</v>
      </c>
      <c r="I7" s="2">
        <v>0</v>
      </c>
      <c r="J7" s="6">
        <f>((C7+D7+E7)-(F7+G7+H7+I7))</f>
        <v>360858.642</v>
      </c>
    </row>
    <row r="8" spans="1:10" ht="12.75">
      <c r="A8" s="27" t="s">
        <v>13</v>
      </c>
      <c r="B8" s="28">
        <v>1401</v>
      </c>
      <c r="C8" s="2">
        <v>622995</v>
      </c>
      <c r="D8" s="2">
        <v>0</v>
      </c>
      <c r="E8" s="2">
        <v>12882</v>
      </c>
      <c r="F8" s="6">
        <v>41712</v>
      </c>
      <c r="G8" s="2"/>
      <c r="H8" s="2">
        <v>-75327</v>
      </c>
      <c r="I8" s="2">
        <v>-5132</v>
      </c>
      <c r="J8" s="6">
        <f>((C8+D8+E8)-(F8+G8+H8+I8))</f>
        <v>674624</v>
      </c>
    </row>
    <row r="9" spans="1:10" ht="12.75">
      <c r="A9" s="29" t="s">
        <v>72</v>
      </c>
      <c r="B9" s="26"/>
      <c r="C9" s="13">
        <f aca="true" t="shared" si="0" ref="C9:J9">SUM(C4:C8)</f>
        <v>5756111.429</v>
      </c>
      <c r="D9" s="13">
        <f t="shared" si="0"/>
        <v>0</v>
      </c>
      <c r="E9" s="13">
        <f t="shared" si="0"/>
        <v>182305.712</v>
      </c>
      <c r="F9" s="14">
        <f t="shared" si="0"/>
        <v>413171.3</v>
      </c>
      <c r="G9" s="13">
        <f t="shared" si="0"/>
        <v>30246.243</v>
      </c>
      <c r="H9" s="13">
        <f t="shared" si="0"/>
        <v>-2620643.044</v>
      </c>
      <c r="I9" s="13">
        <f>SUM(I4:I8)</f>
        <v>0</v>
      </c>
      <c r="J9" s="14">
        <f t="shared" si="0"/>
        <v>8115642.642</v>
      </c>
    </row>
    <row r="10" spans="1:10" ht="12.75">
      <c r="A10" s="27" t="s">
        <v>14</v>
      </c>
      <c r="B10" s="28">
        <v>1351</v>
      </c>
      <c r="C10" s="2">
        <v>221240.571</v>
      </c>
      <c r="D10" s="2">
        <v>0</v>
      </c>
      <c r="E10" s="2">
        <v>2237.288</v>
      </c>
      <c r="F10" s="6">
        <v>13390.7</v>
      </c>
      <c r="G10" s="2">
        <v>187.757</v>
      </c>
      <c r="H10" s="2">
        <v>7796.044</v>
      </c>
      <c r="I10" s="2">
        <v>0</v>
      </c>
      <c r="J10" s="6">
        <f aca="true" t="shared" si="1" ref="J10:J60">((C10+D10+E10)-(F10+G10+H10+I10))</f>
        <v>202103.358</v>
      </c>
    </row>
    <row r="11" spans="1:10" ht="12.75">
      <c r="A11" s="27" t="s">
        <v>15</v>
      </c>
      <c r="B11" s="28">
        <v>1501</v>
      </c>
      <c r="C11" s="2">
        <v>1599893</v>
      </c>
      <c r="D11" s="2">
        <v>3802</v>
      </c>
      <c r="E11" s="2">
        <v>26314</v>
      </c>
      <c r="F11" s="6">
        <v>1343</v>
      </c>
      <c r="G11" s="2">
        <v>1082</v>
      </c>
      <c r="H11" s="2">
        <v>87821</v>
      </c>
      <c r="I11" s="2">
        <v>-51785</v>
      </c>
      <c r="J11" s="6">
        <f t="shared" si="1"/>
        <v>1591548</v>
      </c>
    </row>
    <row r="12" spans="1:10" ht="12.75">
      <c r="A12" s="27" t="s">
        <v>16</v>
      </c>
      <c r="B12" s="28">
        <v>1502</v>
      </c>
      <c r="C12" s="2">
        <v>1379751</v>
      </c>
      <c r="D12" s="2">
        <v>3697</v>
      </c>
      <c r="E12" s="2">
        <v>22792</v>
      </c>
      <c r="F12" s="6">
        <v>2151</v>
      </c>
      <c r="G12" s="2">
        <v>0</v>
      </c>
      <c r="H12" s="2">
        <v>105871</v>
      </c>
      <c r="I12" s="2">
        <v>-18189</v>
      </c>
      <c r="J12" s="6">
        <f t="shared" si="1"/>
        <v>1316407</v>
      </c>
    </row>
    <row r="13" spans="1:10" ht="12.75">
      <c r="A13" s="27" t="s">
        <v>17</v>
      </c>
      <c r="B13" s="28">
        <v>1516</v>
      </c>
      <c r="C13" s="2">
        <v>2012683</v>
      </c>
      <c r="D13" s="2">
        <v>4712</v>
      </c>
      <c r="E13" s="2">
        <v>31251</v>
      </c>
      <c r="F13" s="6">
        <v>1289</v>
      </c>
      <c r="G13" s="2">
        <v>93</v>
      </c>
      <c r="H13" s="2">
        <v>139737</v>
      </c>
      <c r="I13" s="2">
        <v>69974</v>
      </c>
      <c r="J13" s="6">
        <f t="shared" si="1"/>
        <v>1837553</v>
      </c>
    </row>
    <row r="14" spans="1:10" ht="12.75">
      <c r="A14" s="29" t="s">
        <v>67</v>
      </c>
      <c r="B14" s="26"/>
      <c r="C14" s="13">
        <f aca="true" t="shared" si="2" ref="C14:J14">SUM(C10:C13)</f>
        <v>5213567.571</v>
      </c>
      <c r="D14" s="13">
        <f t="shared" si="2"/>
        <v>12211</v>
      </c>
      <c r="E14" s="13">
        <f t="shared" si="2"/>
        <v>82594.288</v>
      </c>
      <c r="F14" s="14">
        <f t="shared" si="2"/>
        <v>18173.7</v>
      </c>
      <c r="G14" s="13">
        <f t="shared" si="2"/>
        <v>1362.757</v>
      </c>
      <c r="H14" s="13">
        <f t="shared" si="2"/>
        <v>341225.044</v>
      </c>
      <c r="I14" s="13">
        <f t="shared" si="2"/>
        <v>0</v>
      </c>
      <c r="J14" s="14">
        <f t="shared" si="2"/>
        <v>4947611.358</v>
      </c>
    </row>
    <row r="15" spans="1:10" ht="22.5">
      <c r="A15" s="7" t="s">
        <v>18</v>
      </c>
      <c r="B15" s="28">
        <v>2000</v>
      </c>
      <c r="C15" s="2">
        <v>1976678</v>
      </c>
      <c r="D15" s="2">
        <v>1149830</v>
      </c>
      <c r="E15" s="2">
        <v>241925</v>
      </c>
      <c r="F15" s="6">
        <v>0</v>
      </c>
      <c r="G15" s="2">
        <v>35975</v>
      </c>
      <c r="H15" s="2">
        <v>1186522</v>
      </c>
      <c r="I15" s="2">
        <v>0</v>
      </c>
      <c r="J15" s="6">
        <f t="shared" si="1"/>
        <v>2145936</v>
      </c>
    </row>
    <row r="16" spans="1:10" ht="12.75">
      <c r="A16" s="15" t="s">
        <v>68</v>
      </c>
      <c r="B16" s="26"/>
      <c r="C16" s="13">
        <f aca="true" t="shared" si="3" ref="C16:J16">SUM(C15)</f>
        <v>1976678</v>
      </c>
      <c r="D16" s="13">
        <f t="shared" si="3"/>
        <v>1149830</v>
      </c>
      <c r="E16" s="13">
        <f t="shared" si="3"/>
        <v>241925</v>
      </c>
      <c r="F16" s="14">
        <f t="shared" si="3"/>
        <v>0</v>
      </c>
      <c r="G16" s="13">
        <f t="shared" si="3"/>
        <v>35975</v>
      </c>
      <c r="H16" s="13">
        <f t="shared" si="3"/>
        <v>1186522</v>
      </c>
      <c r="I16" s="13">
        <f>SUM(I15)</f>
        <v>0</v>
      </c>
      <c r="J16" s="14">
        <f t="shared" si="3"/>
        <v>2145936</v>
      </c>
    </row>
    <row r="17" spans="1:10" ht="12.75">
      <c r="A17" s="27" t="s">
        <v>19</v>
      </c>
      <c r="B17" s="28">
        <v>2501</v>
      </c>
      <c r="C17" s="2">
        <v>985114</v>
      </c>
      <c r="D17" s="2">
        <v>78068</v>
      </c>
      <c r="E17" s="2">
        <v>9675</v>
      </c>
      <c r="F17" s="6">
        <v>0</v>
      </c>
      <c r="G17" s="2">
        <v>5989</v>
      </c>
      <c r="H17" s="2">
        <v>85380</v>
      </c>
      <c r="I17" s="2">
        <v>6439</v>
      </c>
      <c r="J17" s="6">
        <f t="shared" si="1"/>
        <v>975049</v>
      </c>
    </row>
    <row r="18" spans="1:10" ht="12.75">
      <c r="A18" s="27" t="s">
        <v>20</v>
      </c>
      <c r="B18" s="28">
        <v>2502</v>
      </c>
      <c r="C18" s="2">
        <v>662722</v>
      </c>
      <c r="D18" s="2">
        <v>18064</v>
      </c>
      <c r="E18" s="2">
        <v>5928</v>
      </c>
      <c r="F18" s="6">
        <v>0</v>
      </c>
      <c r="G18" s="2">
        <v>4369</v>
      </c>
      <c r="H18" s="2">
        <v>49799</v>
      </c>
      <c r="I18" s="2">
        <v>-5464</v>
      </c>
      <c r="J18" s="6">
        <f t="shared" si="1"/>
        <v>638010</v>
      </c>
    </row>
    <row r="19" spans="1:10" ht="12.75">
      <c r="A19" s="29" t="s">
        <v>69</v>
      </c>
      <c r="B19" s="26"/>
      <c r="C19" s="13">
        <f aca="true" t="shared" si="4" ref="C19:J19">SUM(C17:C18)</f>
        <v>1647836</v>
      </c>
      <c r="D19" s="13">
        <f t="shared" si="4"/>
        <v>96132</v>
      </c>
      <c r="E19" s="13">
        <f t="shared" si="4"/>
        <v>15603</v>
      </c>
      <c r="F19" s="14">
        <f t="shared" si="4"/>
        <v>0</v>
      </c>
      <c r="G19" s="13">
        <f t="shared" si="4"/>
        <v>10358</v>
      </c>
      <c r="H19" s="13">
        <f t="shared" si="4"/>
        <v>135179</v>
      </c>
      <c r="I19" s="13">
        <f>SUM(I17:I18)</f>
        <v>975</v>
      </c>
      <c r="J19" s="14">
        <f t="shared" si="4"/>
        <v>1613059</v>
      </c>
    </row>
    <row r="20" spans="1:10" ht="12.75">
      <c r="A20" s="27" t="s">
        <v>21</v>
      </c>
      <c r="B20" s="28">
        <v>3000</v>
      </c>
      <c r="C20" s="2">
        <v>1954634</v>
      </c>
      <c r="D20" s="2">
        <v>18340</v>
      </c>
      <c r="E20" s="2">
        <v>17794</v>
      </c>
      <c r="F20" s="6">
        <v>0</v>
      </c>
      <c r="G20" s="2">
        <v>1979</v>
      </c>
      <c r="H20" s="2">
        <v>27156</v>
      </c>
      <c r="I20" s="2">
        <v>-170</v>
      </c>
      <c r="J20" s="6">
        <f t="shared" si="1"/>
        <v>1961803</v>
      </c>
    </row>
    <row r="21" spans="1:10" ht="12.75">
      <c r="A21" s="29" t="s">
        <v>70</v>
      </c>
      <c r="B21" s="26"/>
      <c r="C21" s="13">
        <f aca="true" t="shared" si="5" ref="C21:J21">SUM(C20)</f>
        <v>1954634</v>
      </c>
      <c r="D21" s="13">
        <f t="shared" si="5"/>
        <v>18340</v>
      </c>
      <c r="E21" s="13">
        <f t="shared" si="5"/>
        <v>17794</v>
      </c>
      <c r="F21" s="14">
        <f t="shared" si="5"/>
        <v>0</v>
      </c>
      <c r="G21" s="13">
        <f t="shared" si="5"/>
        <v>1979</v>
      </c>
      <c r="H21" s="13">
        <f t="shared" si="5"/>
        <v>27156</v>
      </c>
      <c r="I21" s="13">
        <f t="shared" si="5"/>
        <v>-170</v>
      </c>
      <c r="J21" s="14">
        <f t="shared" si="5"/>
        <v>1961803</v>
      </c>
    </row>
    <row r="22" spans="1:10" ht="12.75">
      <c r="A22" s="27" t="s">
        <v>22</v>
      </c>
      <c r="B22" s="28">
        <v>3500</v>
      </c>
      <c r="C22" s="2">
        <v>1750037</v>
      </c>
      <c r="D22" s="2">
        <v>11768</v>
      </c>
      <c r="E22" s="2">
        <v>20876</v>
      </c>
      <c r="F22" s="6">
        <v>0</v>
      </c>
      <c r="G22" s="2">
        <v>1290</v>
      </c>
      <c r="H22" s="2">
        <v>85628</v>
      </c>
      <c r="I22" s="2">
        <v>-159</v>
      </c>
      <c r="J22" s="6">
        <f t="shared" si="1"/>
        <v>1695922</v>
      </c>
    </row>
    <row r="23" spans="1:10" ht="12.75">
      <c r="A23" s="29" t="s">
        <v>71</v>
      </c>
      <c r="B23" s="26"/>
      <c r="C23" s="13">
        <f aca="true" t="shared" si="6" ref="C23:J23">SUM(C22)</f>
        <v>1750037</v>
      </c>
      <c r="D23" s="13">
        <f t="shared" si="6"/>
        <v>11768</v>
      </c>
      <c r="E23" s="13">
        <f t="shared" si="6"/>
        <v>20876</v>
      </c>
      <c r="F23" s="14">
        <f t="shared" si="6"/>
        <v>0</v>
      </c>
      <c r="G23" s="13">
        <f t="shared" si="6"/>
        <v>1290</v>
      </c>
      <c r="H23" s="13">
        <f t="shared" si="6"/>
        <v>85628</v>
      </c>
      <c r="I23" s="13">
        <f t="shared" si="6"/>
        <v>-159</v>
      </c>
      <c r="J23" s="14">
        <f t="shared" si="6"/>
        <v>1695922</v>
      </c>
    </row>
    <row r="24" spans="1:10" ht="12.75">
      <c r="A24" s="27" t="s">
        <v>23</v>
      </c>
      <c r="B24" s="28">
        <v>4001</v>
      </c>
      <c r="C24" s="2">
        <v>462271</v>
      </c>
      <c r="D24" s="2">
        <v>0</v>
      </c>
      <c r="E24" s="2">
        <v>0</v>
      </c>
      <c r="F24" s="6">
        <v>0</v>
      </c>
      <c r="G24" s="2">
        <v>2366</v>
      </c>
      <c r="H24" s="2">
        <v>147421</v>
      </c>
      <c r="I24" s="2">
        <v>0</v>
      </c>
      <c r="J24" s="6">
        <f t="shared" si="1"/>
        <v>312484</v>
      </c>
    </row>
    <row r="25" spans="1:10" ht="12.75">
      <c r="A25" s="29" t="s">
        <v>73</v>
      </c>
      <c r="B25" s="26"/>
      <c r="C25" s="13">
        <f aca="true" t="shared" si="7" ref="C25:J25">SUM(C24)</f>
        <v>462271</v>
      </c>
      <c r="D25" s="13">
        <f t="shared" si="7"/>
        <v>0</v>
      </c>
      <c r="E25" s="13">
        <f t="shared" si="7"/>
        <v>0</v>
      </c>
      <c r="F25" s="14">
        <f t="shared" si="7"/>
        <v>0</v>
      </c>
      <c r="G25" s="13">
        <f t="shared" si="7"/>
        <v>2366</v>
      </c>
      <c r="H25" s="13">
        <f t="shared" si="7"/>
        <v>147421</v>
      </c>
      <c r="I25" s="13">
        <f t="shared" si="7"/>
        <v>0</v>
      </c>
      <c r="J25" s="14">
        <f t="shared" si="7"/>
        <v>312484</v>
      </c>
    </row>
    <row r="26" spans="1:10" ht="12.75">
      <c r="A26" s="27" t="s">
        <v>24</v>
      </c>
      <c r="B26" s="28">
        <v>4202</v>
      </c>
      <c r="C26" s="2">
        <v>2945468</v>
      </c>
      <c r="D26" s="2">
        <v>4968</v>
      </c>
      <c r="E26" s="2">
        <v>-32645</v>
      </c>
      <c r="F26" s="6">
        <v>11700</v>
      </c>
      <c r="G26" s="2">
        <v>63862</v>
      </c>
      <c r="H26" s="2">
        <v>-473687</v>
      </c>
      <c r="I26" s="2">
        <v>20233</v>
      </c>
      <c r="J26" s="6">
        <f t="shared" si="1"/>
        <v>3295683</v>
      </c>
    </row>
    <row r="27" spans="1:10" ht="12.75">
      <c r="A27" s="27" t="s">
        <v>25</v>
      </c>
      <c r="B27" s="28">
        <v>4212</v>
      </c>
      <c r="C27" s="2">
        <v>1042986</v>
      </c>
      <c r="D27" s="2">
        <v>1022</v>
      </c>
      <c r="E27" s="2">
        <v>13101</v>
      </c>
      <c r="F27" s="6">
        <v>1784</v>
      </c>
      <c r="G27" s="2">
        <v>17180</v>
      </c>
      <c r="H27" s="2">
        <v>67776</v>
      </c>
      <c r="I27" s="2">
        <v>-21431</v>
      </c>
      <c r="J27" s="6">
        <f t="shared" si="1"/>
        <v>991800</v>
      </c>
    </row>
    <row r="28" spans="1:10" ht="12.75">
      <c r="A28" s="29" t="s">
        <v>74</v>
      </c>
      <c r="B28" s="26"/>
      <c r="C28" s="13">
        <f aca="true" t="shared" si="8" ref="C28:J28">SUM(C26:C27)</f>
        <v>3988454</v>
      </c>
      <c r="D28" s="13">
        <f t="shared" si="8"/>
        <v>5990</v>
      </c>
      <c r="E28" s="13">
        <f t="shared" si="8"/>
        <v>-19544</v>
      </c>
      <c r="F28" s="14">
        <f t="shared" si="8"/>
        <v>13484</v>
      </c>
      <c r="G28" s="13">
        <f t="shared" si="8"/>
        <v>81042</v>
      </c>
      <c r="H28" s="13">
        <f t="shared" si="8"/>
        <v>-405911</v>
      </c>
      <c r="I28" s="13">
        <f t="shared" si="8"/>
        <v>-1198</v>
      </c>
      <c r="J28" s="14">
        <f t="shared" si="8"/>
        <v>4287483</v>
      </c>
    </row>
    <row r="29" spans="1:10" ht="12.75">
      <c r="A29" s="27" t="s">
        <v>26</v>
      </c>
      <c r="B29" s="28">
        <v>5001</v>
      </c>
      <c r="C29" s="2">
        <v>789351</v>
      </c>
      <c r="D29" s="2">
        <v>20530</v>
      </c>
      <c r="E29" s="2">
        <v>33997</v>
      </c>
      <c r="F29" s="6">
        <v>0</v>
      </c>
      <c r="G29" s="2">
        <v>3887</v>
      </c>
      <c r="H29" s="2">
        <v>56857</v>
      </c>
      <c r="I29" s="2">
        <v>22424</v>
      </c>
      <c r="J29" s="6">
        <f t="shared" si="1"/>
        <v>760710</v>
      </c>
    </row>
    <row r="30" spans="1:10" ht="12.75">
      <c r="A30" s="27" t="s">
        <v>27</v>
      </c>
      <c r="B30" s="28">
        <v>5002</v>
      </c>
      <c r="C30" s="2">
        <v>287058</v>
      </c>
      <c r="D30" s="2">
        <v>13219</v>
      </c>
      <c r="E30" s="2">
        <v>14937</v>
      </c>
      <c r="F30" s="6">
        <v>0</v>
      </c>
      <c r="G30" s="2">
        <v>1883</v>
      </c>
      <c r="H30" s="2">
        <v>20832</v>
      </c>
      <c r="I30" s="2">
        <v>-17603</v>
      </c>
      <c r="J30" s="6">
        <f t="shared" si="1"/>
        <v>310102</v>
      </c>
    </row>
    <row r="31" spans="1:10" ht="12.75">
      <c r="A31" s="27" t="s">
        <v>28</v>
      </c>
      <c r="B31" s="28">
        <v>5003</v>
      </c>
      <c r="C31" s="2">
        <v>53306</v>
      </c>
      <c r="D31" s="2">
        <v>1667</v>
      </c>
      <c r="E31" s="2">
        <v>2222</v>
      </c>
      <c r="F31" s="6">
        <v>0</v>
      </c>
      <c r="G31" s="2">
        <v>100</v>
      </c>
      <c r="H31" s="2">
        <v>4297</v>
      </c>
      <c r="I31" s="2">
        <v>-1862</v>
      </c>
      <c r="J31" s="6">
        <f t="shared" si="1"/>
        <v>54660</v>
      </c>
    </row>
    <row r="32" spans="1:10" ht="12.75">
      <c r="A32" s="27" t="s">
        <v>29</v>
      </c>
      <c r="B32" s="28">
        <v>5004</v>
      </c>
      <c r="C32" s="2">
        <v>410785</v>
      </c>
      <c r="D32" s="2">
        <v>11106</v>
      </c>
      <c r="E32" s="2">
        <v>11228</v>
      </c>
      <c r="F32" s="6">
        <v>0</v>
      </c>
      <c r="G32" s="2">
        <v>1003</v>
      </c>
      <c r="H32" s="2">
        <v>15499</v>
      </c>
      <c r="I32" s="2">
        <v>-560</v>
      </c>
      <c r="J32" s="6">
        <f t="shared" si="1"/>
        <v>417177</v>
      </c>
    </row>
    <row r="33" spans="1:10" ht="12.75">
      <c r="A33" s="29" t="s">
        <v>75</v>
      </c>
      <c r="B33" s="26"/>
      <c r="C33" s="13">
        <f aca="true" t="shared" si="9" ref="C33:J33">SUM(C29:C32)</f>
        <v>1540500</v>
      </c>
      <c r="D33" s="13">
        <f t="shared" si="9"/>
        <v>46522</v>
      </c>
      <c r="E33" s="13">
        <f t="shared" si="9"/>
        <v>62384</v>
      </c>
      <c r="F33" s="14">
        <f t="shared" si="9"/>
        <v>0</v>
      </c>
      <c r="G33" s="13">
        <f t="shared" si="9"/>
        <v>6873</v>
      </c>
      <c r="H33" s="13">
        <f t="shared" si="9"/>
        <v>97485</v>
      </c>
      <c r="I33" s="13">
        <f t="shared" si="9"/>
        <v>2399</v>
      </c>
      <c r="J33" s="14">
        <f t="shared" si="9"/>
        <v>1542649</v>
      </c>
    </row>
    <row r="34" spans="1:10" ht="12.75">
      <c r="A34" s="27" t="s">
        <v>30</v>
      </c>
      <c r="B34" s="28">
        <v>5501</v>
      </c>
      <c r="C34" s="2">
        <v>1384526</v>
      </c>
      <c r="D34" s="2">
        <v>15565</v>
      </c>
      <c r="E34" s="2">
        <v>48487</v>
      </c>
      <c r="F34" s="6">
        <v>3011</v>
      </c>
      <c r="G34" s="2">
        <v>1847</v>
      </c>
      <c r="H34" s="2">
        <v>112775</v>
      </c>
      <c r="I34" s="2">
        <v>961</v>
      </c>
      <c r="J34" s="6">
        <f t="shared" si="1"/>
        <v>1329984</v>
      </c>
    </row>
    <row r="35" spans="1:10" ht="12.75">
      <c r="A35" s="29" t="s">
        <v>76</v>
      </c>
      <c r="B35" s="26"/>
      <c r="C35" s="13">
        <f aca="true" t="shared" si="10" ref="C35:J35">SUM(C34)</f>
        <v>1384526</v>
      </c>
      <c r="D35" s="13">
        <f t="shared" si="10"/>
        <v>15565</v>
      </c>
      <c r="E35" s="13">
        <f t="shared" si="10"/>
        <v>48487</v>
      </c>
      <c r="F35" s="14">
        <f t="shared" si="10"/>
        <v>3011</v>
      </c>
      <c r="G35" s="13">
        <f t="shared" si="10"/>
        <v>1847</v>
      </c>
      <c r="H35" s="13">
        <f t="shared" si="10"/>
        <v>112775</v>
      </c>
      <c r="I35" s="13">
        <f t="shared" si="10"/>
        <v>961</v>
      </c>
      <c r="J35" s="14">
        <f t="shared" si="10"/>
        <v>1329984</v>
      </c>
    </row>
    <row r="36" spans="1:10" ht="12.75">
      <c r="A36" s="27" t="s">
        <v>31</v>
      </c>
      <c r="B36" s="28">
        <v>6002</v>
      </c>
      <c r="C36" s="2">
        <v>74442</v>
      </c>
      <c r="D36" s="2">
        <v>0</v>
      </c>
      <c r="E36" s="2">
        <v>2260</v>
      </c>
      <c r="F36" s="6">
        <v>0</v>
      </c>
      <c r="G36" s="2">
        <v>28</v>
      </c>
      <c r="H36" s="2">
        <v>-12367</v>
      </c>
      <c r="I36" s="2">
        <v>-2260</v>
      </c>
      <c r="J36" s="6">
        <f t="shared" si="1"/>
        <v>91301</v>
      </c>
    </row>
    <row r="37" spans="1:10" ht="12.75">
      <c r="A37" s="27" t="s">
        <v>32</v>
      </c>
      <c r="B37" s="28">
        <v>6004</v>
      </c>
      <c r="C37" s="2">
        <v>57955</v>
      </c>
      <c r="D37" s="2">
        <v>0</v>
      </c>
      <c r="E37" s="2">
        <v>1806</v>
      </c>
      <c r="F37" s="6">
        <v>0</v>
      </c>
      <c r="G37" s="2">
        <v>0</v>
      </c>
      <c r="H37" s="2">
        <v>-15753</v>
      </c>
      <c r="I37" s="2">
        <v>-17112</v>
      </c>
      <c r="J37" s="6">
        <f t="shared" si="1"/>
        <v>92626</v>
      </c>
    </row>
    <row r="38" spans="1:10" ht="12.75">
      <c r="A38" s="27" t="s">
        <v>33</v>
      </c>
      <c r="B38" s="28">
        <v>6006</v>
      </c>
      <c r="C38" s="2">
        <v>416346</v>
      </c>
      <c r="D38" s="2">
        <v>0</v>
      </c>
      <c r="E38" s="2">
        <v>12695</v>
      </c>
      <c r="F38" s="6">
        <v>18169</v>
      </c>
      <c r="G38" s="2">
        <v>481</v>
      </c>
      <c r="H38" s="2">
        <v>-46558</v>
      </c>
      <c r="I38" s="2">
        <v>-4895</v>
      </c>
      <c r="J38" s="6">
        <f t="shared" si="1"/>
        <v>461844</v>
      </c>
    </row>
    <row r="39" spans="1:10" ht="12.75">
      <c r="A39" s="27" t="s">
        <v>34</v>
      </c>
      <c r="B39" s="28">
        <v>6007</v>
      </c>
      <c r="C39" s="2">
        <v>820575</v>
      </c>
      <c r="D39" s="2">
        <v>0</v>
      </c>
      <c r="E39" s="2">
        <v>24892</v>
      </c>
      <c r="F39" s="6">
        <v>7923</v>
      </c>
      <c r="G39" s="2">
        <v>2636</v>
      </c>
      <c r="H39" s="2">
        <v>-116284</v>
      </c>
      <c r="I39" s="2">
        <f>-4981-8094</f>
        <v>-13075</v>
      </c>
      <c r="J39" s="6">
        <f t="shared" si="1"/>
        <v>964267</v>
      </c>
    </row>
    <row r="40" spans="1:10" ht="12.75">
      <c r="A40" s="27" t="s">
        <v>35</v>
      </c>
      <c r="B40" s="28">
        <v>6008</v>
      </c>
      <c r="C40" s="2">
        <v>905150</v>
      </c>
      <c r="D40" s="2">
        <v>0</v>
      </c>
      <c r="E40" s="2">
        <v>26702</v>
      </c>
      <c r="F40" s="6">
        <v>4209</v>
      </c>
      <c r="G40" s="2">
        <v>3851</v>
      </c>
      <c r="H40" s="2">
        <v>-22145</v>
      </c>
      <c r="I40" s="2">
        <v>46622</v>
      </c>
      <c r="J40" s="6">
        <f t="shared" si="1"/>
        <v>899315</v>
      </c>
    </row>
    <row r="41" spans="1:10" ht="12.75">
      <c r="A41" s="27" t="s">
        <v>36</v>
      </c>
      <c r="B41" s="28">
        <v>6014</v>
      </c>
      <c r="C41" s="2">
        <v>-3239</v>
      </c>
      <c r="D41" s="2">
        <v>0</v>
      </c>
      <c r="E41" s="2">
        <v>111</v>
      </c>
      <c r="F41" s="6">
        <v>0</v>
      </c>
      <c r="G41" s="2">
        <v>0</v>
      </c>
      <c r="H41" s="2">
        <v>-43777</v>
      </c>
      <c r="I41" s="2">
        <v>-3555</v>
      </c>
      <c r="J41" s="6">
        <f t="shared" si="1"/>
        <v>44204</v>
      </c>
    </row>
    <row r="42" spans="1:10" ht="12.75">
      <c r="A42" s="29" t="s">
        <v>77</v>
      </c>
      <c r="B42" s="26"/>
      <c r="C42" s="13">
        <f aca="true" t="shared" si="11" ref="C42:J42">SUM(C36:C41)</f>
        <v>2271229</v>
      </c>
      <c r="D42" s="13">
        <f t="shared" si="11"/>
        <v>0</v>
      </c>
      <c r="E42" s="13">
        <f t="shared" si="11"/>
        <v>68466</v>
      </c>
      <c r="F42" s="14">
        <f t="shared" si="11"/>
        <v>30301</v>
      </c>
      <c r="G42" s="13">
        <f t="shared" si="11"/>
        <v>6996</v>
      </c>
      <c r="H42" s="13">
        <f t="shared" si="11"/>
        <v>-256884</v>
      </c>
      <c r="I42" s="13">
        <f t="shared" si="11"/>
        <v>5725</v>
      </c>
      <c r="J42" s="14">
        <f t="shared" si="11"/>
        <v>2553557</v>
      </c>
    </row>
    <row r="43" spans="1:10" ht="12.75">
      <c r="A43" s="27" t="s">
        <v>37</v>
      </c>
      <c r="B43" s="28">
        <v>6501</v>
      </c>
      <c r="C43" s="2">
        <v>750469</v>
      </c>
      <c r="D43" s="2">
        <v>3143</v>
      </c>
      <c r="E43" s="2">
        <v>29821</v>
      </c>
      <c r="F43" s="6">
        <v>0</v>
      </c>
      <c r="G43" s="2">
        <v>1238</v>
      </c>
      <c r="H43" s="2">
        <v>72618</v>
      </c>
      <c r="I43" s="2">
        <v>-3515</v>
      </c>
      <c r="J43" s="6">
        <f t="shared" si="1"/>
        <v>713092</v>
      </c>
    </row>
    <row r="44" spans="1:10" ht="12.75">
      <c r="A44" s="27" t="s">
        <v>38</v>
      </c>
      <c r="B44" s="28">
        <v>6502</v>
      </c>
      <c r="C44" s="2">
        <v>745903</v>
      </c>
      <c r="D44" s="2">
        <v>0</v>
      </c>
      <c r="E44" s="2">
        <v>32436</v>
      </c>
      <c r="F44" s="6">
        <v>0</v>
      </c>
      <c r="G44" s="2">
        <v>5158</v>
      </c>
      <c r="H44" s="2">
        <v>64869</v>
      </c>
      <c r="I44" s="2">
        <v>39665</v>
      </c>
      <c r="J44" s="6">
        <f t="shared" si="1"/>
        <v>668647</v>
      </c>
    </row>
    <row r="45" spans="1:10" ht="12.75">
      <c r="A45" s="27" t="s">
        <v>39</v>
      </c>
      <c r="B45" s="28">
        <v>6503</v>
      </c>
      <c r="C45" s="2">
        <v>20941</v>
      </c>
      <c r="D45" s="2">
        <v>0</v>
      </c>
      <c r="E45" s="2">
        <v>724</v>
      </c>
      <c r="F45" s="6">
        <v>0</v>
      </c>
      <c r="G45" s="2">
        <v>0</v>
      </c>
      <c r="H45" s="2">
        <v>3613</v>
      </c>
      <c r="I45" s="2">
        <v>-8830</v>
      </c>
      <c r="J45" s="6">
        <f t="shared" si="1"/>
        <v>26882</v>
      </c>
    </row>
    <row r="46" spans="1:10" ht="12.75">
      <c r="A46" s="27" t="s">
        <v>40</v>
      </c>
      <c r="B46" s="28">
        <v>6504</v>
      </c>
      <c r="C46" s="2">
        <v>72651</v>
      </c>
      <c r="D46" s="2">
        <v>0</v>
      </c>
      <c r="E46" s="2">
        <v>1930</v>
      </c>
      <c r="F46" s="6">
        <v>0</v>
      </c>
      <c r="G46" s="2">
        <v>73</v>
      </c>
      <c r="H46" s="2">
        <v>7228</v>
      </c>
      <c r="I46" s="2">
        <v>-16560</v>
      </c>
      <c r="J46" s="6">
        <f t="shared" si="1"/>
        <v>83840</v>
      </c>
    </row>
    <row r="47" spans="1:10" ht="12.75">
      <c r="A47" s="27" t="s">
        <v>41</v>
      </c>
      <c r="B47" s="28">
        <v>6505</v>
      </c>
      <c r="C47" s="2">
        <v>34463</v>
      </c>
      <c r="D47" s="2">
        <v>0</v>
      </c>
      <c r="E47" s="2">
        <v>941</v>
      </c>
      <c r="F47" s="6">
        <v>0</v>
      </c>
      <c r="G47" s="2">
        <v>0</v>
      </c>
      <c r="H47" s="2">
        <v>4281</v>
      </c>
      <c r="I47" s="2">
        <v>-10760</v>
      </c>
      <c r="J47" s="6">
        <f t="shared" si="1"/>
        <v>41883</v>
      </c>
    </row>
    <row r="48" spans="1:10" ht="12.75">
      <c r="A48" s="29" t="s">
        <v>78</v>
      </c>
      <c r="B48" s="26"/>
      <c r="C48" s="13">
        <f aca="true" t="shared" si="12" ref="C48:J48">SUM(C43:C47)</f>
        <v>1624427</v>
      </c>
      <c r="D48" s="13">
        <f t="shared" si="12"/>
        <v>3143</v>
      </c>
      <c r="E48" s="13">
        <f t="shared" si="12"/>
        <v>65852</v>
      </c>
      <c r="F48" s="14">
        <f t="shared" si="12"/>
        <v>0</v>
      </c>
      <c r="G48" s="13">
        <f t="shared" si="12"/>
        <v>6469</v>
      </c>
      <c r="H48" s="13">
        <f t="shared" si="12"/>
        <v>152609</v>
      </c>
      <c r="I48" s="13">
        <f t="shared" si="12"/>
        <v>0</v>
      </c>
      <c r="J48" s="14">
        <f t="shared" si="12"/>
        <v>1534344</v>
      </c>
    </row>
    <row r="49" spans="1:10" ht="12.75">
      <c r="A49" s="27" t="s">
        <v>42</v>
      </c>
      <c r="B49" s="28">
        <v>7002</v>
      </c>
      <c r="C49" s="2">
        <v>462173</v>
      </c>
      <c r="D49" s="2">
        <v>2575</v>
      </c>
      <c r="E49" s="2">
        <v>27601</v>
      </c>
      <c r="F49" s="6">
        <v>4879</v>
      </c>
      <c r="G49" s="2">
        <v>4888</v>
      </c>
      <c r="H49" s="2">
        <v>-44886</v>
      </c>
      <c r="I49" s="2">
        <v>32365</v>
      </c>
      <c r="J49" s="6">
        <f t="shared" si="1"/>
        <v>495103</v>
      </c>
    </row>
    <row r="50" spans="1:10" ht="12.75">
      <c r="A50" s="27" t="s">
        <v>43</v>
      </c>
      <c r="B50" s="28">
        <v>7003</v>
      </c>
      <c r="C50" s="2">
        <v>2151748</v>
      </c>
      <c r="D50" s="2">
        <v>12323</v>
      </c>
      <c r="E50" s="2">
        <v>55598</v>
      </c>
      <c r="F50" s="6">
        <v>0</v>
      </c>
      <c r="G50" s="2">
        <v>34708</v>
      </c>
      <c r="H50" s="2">
        <v>-552346</v>
      </c>
      <c r="I50" s="2">
        <v>-15084</v>
      </c>
      <c r="J50" s="6">
        <f t="shared" si="1"/>
        <v>2752391</v>
      </c>
    </row>
    <row r="51" spans="1:10" ht="12.75">
      <c r="A51" s="27" t="s">
        <v>44</v>
      </c>
      <c r="B51" s="28">
        <v>7005</v>
      </c>
      <c r="C51" s="2">
        <v>757499</v>
      </c>
      <c r="D51" s="2">
        <v>4279</v>
      </c>
      <c r="E51" s="2">
        <v>35948</v>
      </c>
      <c r="F51" s="6">
        <v>9386</v>
      </c>
      <c r="G51" s="2">
        <v>8250</v>
      </c>
      <c r="H51" s="2">
        <v>4661</v>
      </c>
      <c r="I51" s="2">
        <v>-16402</v>
      </c>
      <c r="J51" s="6">
        <f t="shared" si="1"/>
        <v>791831</v>
      </c>
    </row>
    <row r="52" spans="1:10" ht="12.75">
      <c r="A52" s="27" t="s">
        <v>45</v>
      </c>
      <c r="B52" s="28">
        <v>7026</v>
      </c>
      <c r="C52" s="2">
        <v>1056718</v>
      </c>
      <c r="D52" s="2">
        <v>6350</v>
      </c>
      <c r="E52" s="2">
        <v>70421</v>
      </c>
      <c r="F52" s="6">
        <v>0</v>
      </c>
      <c r="G52" s="2">
        <v>7244</v>
      </c>
      <c r="H52" s="2">
        <v>-523869</v>
      </c>
      <c r="I52" s="2">
        <v>24719</v>
      </c>
      <c r="J52" s="6">
        <f t="shared" si="1"/>
        <v>1625395</v>
      </c>
    </row>
    <row r="53" spans="1:10" ht="12.75">
      <c r="A53" s="29" t="s">
        <v>79</v>
      </c>
      <c r="B53" s="26"/>
      <c r="C53" s="13">
        <f aca="true" t="shared" si="13" ref="C53:J53">SUM(C49:C52)</f>
        <v>4428138</v>
      </c>
      <c r="D53" s="13">
        <f t="shared" si="13"/>
        <v>25527</v>
      </c>
      <c r="E53" s="13">
        <f t="shared" si="13"/>
        <v>189568</v>
      </c>
      <c r="F53" s="14">
        <f t="shared" si="13"/>
        <v>14265</v>
      </c>
      <c r="G53" s="13">
        <f t="shared" si="13"/>
        <v>55090</v>
      </c>
      <c r="H53" s="13">
        <f t="shared" si="13"/>
        <v>-1116440</v>
      </c>
      <c r="I53" s="13">
        <f t="shared" si="13"/>
        <v>25598</v>
      </c>
      <c r="J53" s="14">
        <f t="shared" si="13"/>
        <v>5664720</v>
      </c>
    </row>
    <row r="54" spans="1:10" ht="12.75">
      <c r="A54" s="27" t="s">
        <v>46</v>
      </c>
      <c r="B54" s="28">
        <v>7601</v>
      </c>
      <c r="C54" s="2">
        <v>1307638</v>
      </c>
      <c r="D54" s="2">
        <v>5866</v>
      </c>
      <c r="E54" s="2">
        <v>33679</v>
      </c>
      <c r="F54" s="6">
        <v>0</v>
      </c>
      <c r="G54" s="2">
        <v>1802</v>
      </c>
      <c r="H54" s="2">
        <v>73614</v>
      </c>
      <c r="I54" s="2">
        <v>5298</v>
      </c>
      <c r="J54" s="6">
        <f t="shared" si="1"/>
        <v>1266469</v>
      </c>
    </row>
    <row r="55" spans="1:10" ht="12.75">
      <c r="A55" s="27" t="s">
        <v>47</v>
      </c>
      <c r="B55" s="28">
        <v>7603</v>
      </c>
      <c r="C55" s="2">
        <v>349998</v>
      </c>
      <c r="D55" s="2">
        <v>1512</v>
      </c>
      <c r="E55" s="2">
        <v>9797</v>
      </c>
      <c r="F55" s="6">
        <v>0</v>
      </c>
      <c r="G55" s="2">
        <v>854</v>
      </c>
      <c r="H55" s="2">
        <v>23135</v>
      </c>
      <c r="I55" s="2">
        <v>-5298</v>
      </c>
      <c r="J55" s="6">
        <f t="shared" si="1"/>
        <v>342616</v>
      </c>
    </row>
    <row r="56" spans="1:10" ht="12.75">
      <c r="A56" s="29" t="s">
        <v>80</v>
      </c>
      <c r="B56" s="26"/>
      <c r="C56" s="13">
        <f aca="true" t="shared" si="14" ref="C56:J56">SUM(C54:C55)</f>
        <v>1657636</v>
      </c>
      <c r="D56" s="13">
        <f t="shared" si="14"/>
        <v>7378</v>
      </c>
      <c r="E56" s="13">
        <f t="shared" si="14"/>
        <v>43476</v>
      </c>
      <c r="F56" s="14">
        <f t="shared" si="14"/>
        <v>0</v>
      </c>
      <c r="G56" s="13">
        <f t="shared" si="14"/>
        <v>2656</v>
      </c>
      <c r="H56" s="13">
        <f t="shared" si="14"/>
        <v>96749</v>
      </c>
      <c r="I56" s="13">
        <f t="shared" si="14"/>
        <v>0</v>
      </c>
      <c r="J56" s="14">
        <f t="shared" si="14"/>
        <v>1609085</v>
      </c>
    </row>
    <row r="57" spans="1:10" ht="12.75">
      <c r="A57" s="27" t="s">
        <v>48</v>
      </c>
      <c r="B57" s="28">
        <v>8001</v>
      </c>
      <c r="C57" s="2">
        <v>2540878</v>
      </c>
      <c r="D57" s="2">
        <v>28571</v>
      </c>
      <c r="E57" s="2">
        <v>78971</v>
      </c>
      <c r="F57" s="6">
        <v>0</v>
      </c>
      <c r="G57" s="2">
        <v>19037</v>
      </c>
      <c r="H57" s="2">
        <v>135446</v>
      </c>
      <c r="I57" s="2">
        <v>67310</v>
      </c>
      <c r="J57" s="6">
        <f t="shared" si="1"/>
        <v>2426627</v>
      </c>
    </row>
    <row r="58" spans="1:10" ht="12.75">
      <c r="A58" s="27" t="s">
        <v>49</v>
      </c>
      <c r="B58" s="28">
        <v>8003</v>
      </c>
      <c r="C58" s="2">
        <v>784908</v>
      </c>
      <c r="D58" s="2">
        <v>9573</v>
      </c>
      <c r="E58" s="2">
        <v>26277</v>
      </c>
      <c r="F58" s="6">
        <v>0</v>
      </c>
      <c r="G58" s="2">
        <v>1443</v>
      </c>
      <c r="H58" s="2">
        <v>43622</v>
      </c>
      <c r="I58" s="2">
        <v>68132</v>
      </c>
      <c r="J58" s="6">
        <f t="shared" si="1"/>
        <v>707561</v>
      </c>
    </row>
    <row r="59" spans="1:10" ht="12.75">
      <c r="A59" s="30" t="s">
        <v>50</v>
      </c>
      <c r="B59" s="31">
        <v>8005</v>
      </c>
      <c r="C59" s="2">
        <v>243866</v>
      </c>
      <c r="D59" s="2">
        <v>2917</v>
      </c>
      <c r="E59" s="2">
        <v>3969</v>
      </c>
      <c r="F59" s="6">
        <v>0</v>
      </c>
      <c r="G59" s="2">
        <v>1608</v>
      </c>
      <c r="H59" s="2">
        <v>7267</v>
      </c>
      <c r="I59" s="2">
        <v>67631</v>
      </c>
      <c r="J59" s="6">
        <f t="shared" si="1"/>
        <v>174246</v>
      </c>
    </row>
    <row r="60" spans="1:10" ht="12.75">
      <c r="A60" s="30" t="s">
        <v>51</v>
      </c>
      <c r="B60" s="31">
        <v>8040</v>
      </c>
      <c r="C60" s="2">
        <v>302360</v>
      </c>
      <c r="D60" s="2">
        <v>3352</v>
      </c>
      <c r="E60" s="2">
        <v>3864</v>
      </c>
      <c r="F60" s="6">
        <v>0</v>
      </c>
      <c r="G60" s="2">
        <v>1628</v>
      </c>
      <c r="H60" s="2">
        <v>4922</v>
      </c>
      <c r="I60" s="2">
        <v>-203073</v>
      </c>
      <c r="J60" s="6">
        <f t="shared" si="1"/>
        <v>506099</v>
      </c>
    </row>
    <row r="61" spans="1:10" ht="12.75">
      <c r="A61" s="32" t="s">
        <v>81</v>
      </c>
      <c r="B61" s="20"/>
      <c r="C61" s="16">
        <f>SUM(C57:C60)</f>
        <v>3872012</v>
      </c>
      <c r="D61" s="16">
        <f aca="true" t="shared" si="15" ref="D61:J61">SUM(D57:D60)</f>
        <v>44413</v>
      </c>
      <c r="E61" s="16">
        <f t="shared" si="15"/>
        <v>113081</v>
      </c>
      <c r="F61" s="21">
        <f t="shared" si="15"/>
        <v>0</v>
      </c>
      <c r="G61" s="16">
        <f t="shared" si="15"/>
        <v>23716</v>
      </c>
      <c r="H61" s="16">
        <f t="shared" si="15"/>
        <v>191257</v>
      </c>
      <c r="I61" s="16">
        <f t="shared" si="15"/>
        <v>0</v>
      </c>
      <c r="J61" s="21">
        <f t="shared" si="15"/>
        <v>3814533</v>
      </c>
    </row>
    <row r="62" spans="1:10" ht="12.75">
      <c r="A62" s="15" t="s">
        <v>52</v>
      </c>
      <c r="B62" s="15"/>
      <c r="C62" s="13">
        <f>C9+C14+C16+C19+C21+C23+C25+C28+C33+C35+C42+C48+C53+C56+C61</f>
        <v>39528057</v>
      </c>
      <c r="D62" s="13">
        <f aca="true" t="shared" si="16" ref="D62:J62">D9+D14+D16+D19+D21+D23+D25+D28+D33+D35+D42+D48+D53+D56+D61</f>
        <v>1436819</v>
      </c>
      <c r="E62" s="13">
        <f t="shared" si="16"/>
        <v>1132868</v>
      </c>
      <c r="F62" s="14">
        <f t="shared" si="16"/>
        <v>492406</v>
      </c>
      <c r="G62" s="13">
        <f t="shared" si="16"/>
        <v>268266</v>
      </c>
      <c r="H62" s="13">
        <f t="shared" si="16"/>
        <v>-1825872</v>
      </c>
      <c r="I62" s="13">
        <f t="shared" si="16"/>
        <v>34131</v>
      </c>
      <c r="J62" s="14">
        <f t="shared" si="16"/>
        <v>43128813</v>
      </c>
    </row>
    <row r="64" spans="1:10" ht="12.75">
      <c r="A64" s="144" t="s">
        <v>91</v>
      </c>
      <c r="B64" s="144"/>
      <c r="C64" s="144"/>
      <c r="D64" s="144"/>
      <c r="E64" s="144"/>
      <c r="F64" s="144"/>
      <c r="G64" s="144"/>
      <c r="H64" s="144"/>
      <c r="I64" s="144"/>
      <c r="J64" s="144"/>
    </row>
    <row r="65" ht="12.75">
      <c r="H65" s="44"/>
    </row>
    <row r="67" ht="12.75">
      <c r="A67" s="118" t="s">
        <v>120</v>
      </c>
    </row>
    <row r="68" spans="1:10" ht="12.75">
      <c r="A68" s="119" t="s">
        <v>115</v>
      </c>
      <c r="C68" s="2">
        <f>SUM(C4:C8,C10:C13,C15,C24)</f>
        <v>13408628</v>
      </c>
      <c r="D68" s="2">
        <f aca="true" t="shared" si="17" ref="D68:J68">SUM(D4:D8,D10:D13,D15,D24)</f>
        <v>1162041</v>
      </c>
      <c r="E68" s="2">
        <f t="shared" si="17"/>
        <v>506825</v>
      </c>
      <c r="F68" s="2">
        <f t="shared" si="17"/>
        <v>431345</v>
      </c>
      <c r="G68" s="2">
        <f t="shared" si="17"/>
        <v>69950</v>
      </c>
      <c r="H68" s="2">
        <f t="shared" si="17"/>
        <v>-945475</v>
      </c>
      <c r="I68" s="2">
        <f t="shared" si="17"/>
        <v>0</v>
      </c>
      <c r="J68" s="2">
        <f t="shared" si="17"/>
        <v>15521674</v>
      </c>
    </row>
    <row r="69" spans="1:10" ht="12.75">
      <c r="A69" s="119" t="s">
        <v>116</v>
      </c>
      <c r="C69" s="2">
        <f>SUM(C17:C18,C20,C22)</f>
        <v>5352507</v>
      </c>
      <c r="D69" s="2">
        <f aca="true" t="shared" si="18" ref="D69:J69">SUM(D17:D18,D20,D22)</f>
        <v>126240</v>
      </c>
      <c r="E69" s="2">
        <f t="shared" si="18"/>
        <v>54273</v>
      </c>
      <c r="F69" s="2">
        <f t="shared" si="18"/>
        <v>0</v>
      </c>
      <c r="G69" s="2">
        <f t="shared" si="18"/>
        <v>13627</v>
      </c>
      <c r="H69" s="2">
        <f t="shared" si="18"/>
        <v>247963</v>
      </c>
      <c r="I69" s="2">
        <f t="shared" si="18"/>
        <v>646</v>
      </c>
      <c r="J69" s="2">
        <f t="shared" si="18"/>
        <v>5270784</v>
      </c>
    </row>
    <row r="70" spans="1:10" ht="12.75">
      <c r="A70" s="119" t="s">
        <v>117</v>
      </c>
      <c r="C70" s="2">
        <f>SUM(C26:C27,C29:C32,C34,C37,C39:C41)</f>
        <v>8693921</v>
      </c>
      <c r="D70" s="2">
        <f aca="true" t="shared" si="19" ref="D70:J70">SUM(D26:D27,D29:D32,D34,D37,D39:D41)</f>
        <v>68077</v>
      </c>
      <c r="E70" s="2">
        <f t="shared" si="19"/>
        <v>144838</v>
      </c>
      <c r="F70" s="2">
        <f t="shared" si="19"/>
        <v>28627</v>
      </c>
      <c r="G70" s="2">
        <f t="shared" si="19"/>
        <v>96249</v>
      </c>
      <c r="H70" s="2">
        <f t="shared" si="19"/>
        <v>-393610</v>
      </c>
      <c r="I70" s="2">
        <f t="shared" si="19"/>
        <v>15042</v>
      </c>
      <c r="J70" s="2">
        <f t="shared" si="19"/>
        <v>9160528</v>
      </c>
    </row>
    <row r="71" spans="1:10" ht="12.75">
      <c r="A71" s="119" t="s">
        <v>118</v>
      </c>
      <c r="C71" s="2">
        <f>SUM(C36,C38,C43:C47,C49:C52,C54)</f>
        <v>7850991</v>
      </c>
      <c r="D71" s="2">
        <f aca="true" t="shared" si="20" ref="D71:J71">SUM(D36,D38,D43:D47,D49:D52,D54)</f>
        <v>34536</v>
      </c>
      <c r="E71" s="2">
        <f t="shared" si="20"/>
        <v>304054</v>
      </c>
      <c r="F71" s="2">
        <f t="shared" si="20"/>
        <v>32434</v>
      </c>
      <c r="G71" s="2">
        <f t="shared" si="20"/>
        <v>63870</v>
      </c>
      <c r="H71" s="2">
        <f t="shared" si="20"/>
        <v>-949142</v>
      </c>
      <c r="I71" s="2">
        <f t="shared" si="20"/>
        <v>23741</v>
      </c>
      <c r="J71" s="2">
        <f t="shared" si="20"/>
        <v>9018678</v>
      </c>
    </row>
    <row r="72" spans="1:10" ht="12.75">
      <c r="A72" s="119" t="s">
        <v>119</v>
      </c>
      <c r="C72" s="2">
        <f>SUM(C55,C57:C60)</f>
        <v>4222010</v>
      </c>
      <c r="D72" s="2">
        <f aca="true" t="shared" si="21" ref="D72:J72">SUM(D55,D57:D60)</f>
        <v>45925</v>
      </c>
      <c r="E72" s="2">
        <f t="shared" si="21"/>
        <v>122878</v>
      </c>
      <c r="F72" s="2">
        <f t="shared" si="21"/>
        <v>0</v>
      </c>
      <c r="G72" s="2">
        <f t="shared" si="21"/>
        <v>24570</v>
      </c>
      <c r="H72" s="2">
        <f t="shared" si="21"/>
        <v>214392</v>
      </c>
      <c r="I72" s="2">
        <f t="shared" si="21"/>
        <v>-5298</v>
      </c>
      <c r="J72" s="2">
        <f t="shared" si="21"/>
        <v>4157149</v>
      </c>
    </row>
  </sheetData>
  <sheetProtection/>
  <mergeCells count="1">
    <mergeCell ref="A64:J64"/>
  </mergeCells>
  <printOptions/>
  <pageMargins left="0.7874015748031497" right="0.7874015748031497" top="0.7874015748031497" bottom="0.7874015748031497" header="0" footer="0"/>
  <pageSetup horizontalDpi="600" verticalDpi="600" orientation="landscape" paperSize="9" r:id="rId1"/>
  <headerFooter alignWithMargins="0">
    <oddFooter>&amp;C&amp;P af &amp;N</oddFooter>
  </headerFooter>
  <ignoredErrors>
    <ignoredError sqref="J35 J14 J16 J19 J21 J23 J25 J28 J33 J42 J48 J53 J56 J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22.28125" style="27" customWidth="1"/>
    <col min="2" max="2" width="4.421875" style="27" customWidth="1"/>
    <col min="3" max="3" width="13.8515625" style="9" customWidth="1"/>
    <col min="4" max="8" width="11.140625" style="9" customWidth="1"/>
    <col min="9" max="16384" width="9.140625" style="9" customWidth="1"/>
  </cols>
  <sheetData>
    <row r="1" spans="1:2" s="17" customFormat="1" ht="12.75">
      <c r="A1" s="29" t="s">
        <v>53</v>
      </c>
      <c r="B1" s="29"/>
    </row>
    <row r="3" spans="1:8" ht="72" customHeight="1">
      <c r="A3" s="85" t="s">
        <v>1</v>
      </c>
      <c r="B3" s="4" t="s">
        <v>66</v>
      </c>
      <c r="C3" s="4" t="s">
        <v>54</v>
      </c>
      <c r="D3" s="4" t="s">
        <v>55</v>
      </c>
      <c r="E3" s="4" t="s">
        <v>56</v>
      </c>
      <c r="F3" s="4" t="s">
        <v>100</v>
      </c>
      <c r="G3" s="4" t="s">
        <v>57</v>
      </c>
      <c r="H3" s="4" t="s">
        <v>58</v>
      </c>
    </row>
    <row r="4" spans="1:8" ht="12.75">
      <c r="A4" s="27" t="s">
        <v>9</v>
      </c>
      <c r="B4" s="28">
        <v>1301</v>
      </c>
      <c r="C4" s="46">
        <f>'06_skema1-7'!J4</f>
        <v>4368427</v>
      </c>
      <c r="D4" s="46">
        <v>123364</v>
      </c>
      <c r="E4" s="46">
        <f aca="true" t="shared" si="0" ref="E4:E60">C4-D4</f>
        <v>4245063</v>
      </c>
      <c r="F4" s="2">
        <v>0</v>
      </c>
      <c r="G4" s="48">
        <v>621013.8544212052</v>
      </c>
      <c r="H4" s="46">
        <f aca="true" t="shared" si="1" ref="H4:H60">E4+F4-G4</f>
        <v>3624049.1455787946</v>
      </c>
    </row>
    <row r="5" spans="1:8" ht="12.75">
      <c r="A5" s="27" t="s">
        <v>10</v>
      </c>
      <c r="B5" s="28">
        <v>1309</v>
      </c>
      <c r="C5" s="46">
        <f>'06_skema1-7'!J5</f>
        <v>1184786</v>
      </c>
      <c r="D5" s="46">
        <v>47781</v>
      </c>
      <c r="E5" s="46">
        <f t="shared" si="0"/>
        <v>1137005</v>
      </c>
      <c r="F5" s="2">
        <v>0</v>
      </c>
      <c r="G5" s="48">
        <v>39246.19326199514</v>
      </c>
      <c r="H5" s="46">
        <f t="shared" si="1"/>
        <v>1097758.8067380048</v>
      </c>
    </row>
    <row r="6" spans="1:8" ht="12.75">
      <c r="A6" s="27" t="s">
        <v>11</v>
      </c>
      <c r="B6" s="28">
        <v>1330</v>
      </c>
      <c r="C6" s="46">
        <f>'06_skema1-7'!J6</f>
        <v>1526947</v>
      </c>
      <c r="D6" s="46">
        <v>38167</v>
      </c>
      <c r="E6" s="46">
        <f t="shared" si="0"/>
        <v>1488780</v>
      </c>
      <c r="F6" s="2">
        <v>0</v>
      </c>
      <c r="G6" s="48">
        <v>108516.93976325094</v>
      </c>
      <c r="H6" s="46">
        <f t="shared" si="1"/>
        <v>1380263.060236749</v>
      </c>
    </row>
    <row r="7" spans="1:8" ht="12.75">
      <c r="A7" s="27" t="s">
        <v>12</v>
      </c>
      <c r="B7" s="28">
        <v>1351</v>
      </c>
      <c r="C7" s="46">
        <f>'06_skema1-7'!J7</f>
        <v>360858.642</v>
      </c>
      <c r="D7" s="46">
        <v>0</v>
      </c>
      <c r="E7" s="46">
        <f t="shared" si="0"/>
        <v>360858.642</v>
      </c>
      <c r="F7" s="2">
        <v>0</v>
      </c>
      <c r="G7" s="48">
        <v>3045.2325015222277</v>
      </c>
      <c r="H7" s="46">
        <f t="shared" si="1"/>
        <v>357813.40949847776</v>
      </c>
    </row>
    <row r="8" spans="1:8" ht="12.75">
      <c r="A8" s="27" t="s">
        <v>13</v>
      </c>
      <c r="B8" s="28">
        <v>1401</v>
      </c>
      <c r="C8" s="46">
        <f>'06_skema1-7'!J8</f>
        <v>674624</v>
      </c>
      <c r="D8" s="46">
        <v>1588</v>
      </c>
      <c r="E8" s="46">
        <f t="shared" si="0"/>
        <v>673036</v>
      </c>
      <c r="F8" s="2">
        <v>0</v>
      </c>
      <c r="G8" s="48">
        <v>27971.128343044646</v>
      </c>
      <c r="H8" s="46">
        <f t="shared" si="1"/>
        <v>645064.8716569553</v>
      </c>
    </row>
    <row r="9" spans="1:8" s="17" customFormat="1" ht="12.75">
      <c r="A9" s="29" t="s">
        <v>72</v>
      </c>
      <c r="B9" s="26"/>
      <c r="C9" s="47">
        <f aca="true" t="shared" si="2" ref="C9:H9">SUM(C4:C8)</f>
        <v>8115642.642</v>
      </c>
      <c r="D9" s="47">
        <f t="shared" si="2"/>
        <v>210900</v>
      </c>
      <c r="E9" s="47">
        <f t="shared" si="2"/>
        <v>7904742.642</v>
      </c>
      <c r="F9" s="47">
        <f t="shared" si="2"/>
        <v>0</v>
      </c>
      <c r="G9" s="47">
        <f t="shared" si="2"/>
        <v>799793.3482910182</v>
      </c>
      <c r="H9" s="47">
        <f t="shared" si="2"/>
        <v>7104949.293708981</v>
      </c>
    </row>
    <row r="10" spans="1:8" ht="12.75">
      <c r="A10" s="27" t="s">
        <v>14</v>
      </c>
      <c r="B10" s="28">
        <v>1351</v>
      </c>
      <c r="C10" s="46">
        <f>'06_skema1-7'!J10</f>
        <v>202103.358</v>
      </c>
      <c r="D10" s="46">
        <v>0</v>
      </c>
      <c r="E10" s="46">
        <f t="shared" si="0"/>
        <v>202103.358</v>
      </c>
      <c r="F10" s="2">
        <v>0</v>
      </c>
      <c r="G10" s="48">
        <v>1705.5202309617468</v>
      </c>
      <c r="H10" s="46">
        <f t="shared" si="1"/>
        <v>200397.83776903825</v>
      </c>
    </row>
    <row r="11" spans="1:8" ht="12.75">
      <c r="A11" s="27" t="s">
        <v>15</v>
      </c>
      <c r="B11" s="28">
        <v>1501</v>
      </c>
      <c r="C11" s="46">
        <f>'06_skema1-7'!J11</f>
        <v>1591548</v>
      </c>
      <c r="D11" s="46">
        <v>16325</v>
      </c>
      <c r="E11" s="46">
        <f t="shared" si="0"/>
        <v>1575223</v>
      </c>
      <c r="F11" s="2">
        <v>1667</v>
      </c>
      <c r="G11" s="48">
        <v>23270.16373593148</v>
      </c>
      <c r="H11" s="46">
        <f t="shared" si="1"/>
        <v>1553619.8362640685</v>
      </c>
    </row>
    <row r="12" spans="1:8" ht="12.75">
      <c r="A12" s="27" t="s">
        <v>16</v>
      </c>
      <c r="B12" s="28">
        <v>1502</v>
      </c>
      <c r="C12" s="46">
        <f>'06_skema1-7'!J12</f>
        <v>1316407</v>
      </c>
      <c r="D12" s="46">
        <v>29097</v>
      </c>
      <c r="E12" s="46">
        <f t="shared" si="0"/>
        <v>1287310</v>
      </c>
      <c r="F12" s="2">
        <v>8225</v>
      </c>
      <c r="G12" s="48">
        <v>59993.894955275224</v>
      </c>
      <c r="H12" s="46">
        <f t="shared" si="1"/>
        <v>1235541.105044725</v>
      </c>
    </row>
    <row r="13" spans="1:8" ht="12.75">
      <c r="A13" s="27" t="s">
        <v>17</v>
      </c>
      <c r="B13" s="28">
        <v>1516</v>
      </c>
      <c r="C13" s="46">
        <f>'06_skema1-7'!J13</f>
        <v>1837553</v>
      </c>
      <c r="D13" s="46">
        <v>61493</v>
      </c>
      <c r="E13" s="46">
        <f t="shared" si="0"/>
        <v>1776060</v>
      </c>
      <c r="F13" s="2">
        <v>3362</v>
      </c>
      <c r="G13" s="48">
        <v>195541.36951624308</v>
      </c>
      <c r="H13" s="46">
        <f t="shared" si="1"/>
        <v>1583880.630483757</v>
      </c>
    </row>
    <row r="14" spans="1:8" s="17" customFormat="1" ht="12.75">
      <c r="A14" s="29" t="s">
        <v>67</v>
      </c>
      <c r="B14" s="26"/>
      <c r="C14" s="47">
        <f aca="true" t="shared" si="3" ref="C14:H14">SUM(C10:C13)</f>
        <v>4947611.358</v>
      </c>
      <c r="D14" s="47">
        <f t="shared" si="3"/>
        <v>106915</v>
      </c>
      <c r="E14" s="47">
        <f t="shared" si="3"/>
        <v>4840696.358</v>
      </c>
      <c r="F14" s="47">
        <f t="shared" si="3"/>
        <v>13254</v>
      </c>
      <c r="G14" s="47">
        <f t="shared" si="3"/>
        <v>280510.9484384115</v>
      </c>
      <c r="H14" s="47">
        <f t="shared" si="3"/>
        <v>4573439.409561588</v>
      </c>
    </row>
    <row r="15" spans="1:8" ht="22.5">
      <c r="A15" s="7" t="s">
        <v>18</v>
      </c>
      <c r="B15" s="28">
        <v>2000</v>
      </c>
      <c r="C15" s="46">
        <f>'06_skema1-7'!J15</f>
        <v>2145936</v>
      </c>
      <c r="D15" s="46">
        <v>19371</v>
      </c>
      <c r="E15" s="46">
        <f t="shared" si="0"/>
        <v>2126565</v>
      </c>
      <c r="F15" s="2">
        <v>0</v>
      </c>
      <c r="G15" s="48">
        <v>59927.25354827441</v>
      </c>
      <c r="H15" s="46">
        <f t="shared" si="1"/>
        <v>2066637.7464517255</v>
      </c>
    </row>
    <row r="16" spans="1:8" s="17" customFormat="1" ht="12.75">
      <c r="A16" s="15" t="s">
        <v>68</v>
      </c>
      <c r="B16" s="26"/>
      <c r="C16" s="47">
        <f aca="true" t="shared" si="4" ref="C16:H16">SUM(C15)</f>
        <v>2145936</v>
      </c>
      <c r="D16" s="47">
        <f t="shared" si="4"/>
        <v>19371</v>
      </c>
      <c r="E16" s="47">
        <f t="shared" si="4"/>
        <v>2126565</v>
      </c>
      <c r="F16" s="47">
        <f t="shared" si="4"/>
        <v>0</v>
      </c>
      <c r="G16" s="47">
        <f t="shared" si="4"/>
        <v>59927.25354827441</v>
      </c>
      <c r="H16" s="47">
        <f t="shared" si="4"/>
        <v>2066637.7464517255</v>
      </c>
    </row>
    <row r="17" spans="1:8" ht="12.75">
      <c r="A17" s="27" t="s">
        <v>19</v>
      </c>
      <c r="B17" s="28">
        <v>2501</v>
      </c>
      <c r="C17" s="46">
        <f>'06_skema1-7'!J17</f>
        <v>975049</v>
      </c>
      <c r="D17" s="46">
        <v>331.59299999999996</v>
      </c>
      <c r="E17" s="46">
        <f t="shared" si="0"/>
        <v>974717.407</v>
      </c>
      <c r="F17" s="2">
        <v>4033</v>
      </c>
      <c r="G17" s="48">
        <v>49236.25136719887</v>
      </c>
      <c r="H17" s="46">
        <f t="shared" si="1"/>
        <v>929514.1556328011</v>
      </c>
    </row>
    <row r="18" spans="1:8" ht="12.75">
      <c r="A18" s="27" t="s">
        <v>20</v>
      </c>
      <c r="B18" s="28">
        <v>2502</v>
      </c>
      <c r="C18" s="46">
        <f>'06_skema1-7'!J18</f>
        <v>638010</v>
      </c>
      <c r="D18" s="46">
        <v>90.904</v>
      </c>
      <c r="E18" s="46">
        <f t="shared" si="0"/>
        <v>637919.096</v>
      </c>
      <c r="F18" s="2">
        <v>3066</v>
      </c>
      <c r="G18" s="48">
        <v>10471.454250526085</v>
      </c>
      <c r="H18" s="46">
        <f t="shared" si="1"/>
        <v>630513.641749474</v>
      </c>
    </row>
    <row r="19" spans="1:8" s="17" customFormat="1" ht="12.75">
      <c r="A19" s="29" t="s">
        <v>69</v>
      </c>
      <c r="B19" s="26"/>
      <c r="C19" s="47">
        <f aca="true" t="shared" si="5" ref="C19:H19">SUM(C17:C18)</f>
        <v>1613059</v>
      </c>
      <c r="D19" s="47">
        <f t="shared" si="5"/>
        <v>422.49699999999996</v>
      </c>
      <c r="E19" s="47">
        <f t="shared" si="5"/>
        <v>1612636.503</v>
      </c>
      <c r="F19" s="47">
        <f t="shared" si="5"/>
        <v>7099</v>
      </c>
      <c r="G19" s="47">
        <f t="shared" si="5"/>
        <v>59707.705617724954</v>
      </c>
      <c r="H19" s="47">
        <f t="shared" si="5"/>
        <v>1560027.797382275</v>
      </c>
    </row>
    <row r="20" spans="1:8" ht="12.75">
      <c r="A20" s="27" t="s">
        <v>21</v>
      </c>
      <c r="B20" s="28">
        <v>3000</v>
      </c>
      <c r="C20" s="46">
        <f>'06_skema1-7'!J20</f>
        <v>1961803</v>
      </c>
      <c r="D20" s="46">
        <v>844.9939999999999</v>
      </c>
      <c r="E20" s="46">
        <f t="shared" si="0"/>
        <v>1960958.006</v>
      </c>
      <c r="F20" s="2">
        <v>0</v>
      </c>
      <c r="G20" s="48">
        <v>52417.934023142705</v>
      </c>
      <c r="H20" s="46">
        <f t="shared" si="1"/>
        <v>1908540.0719768573</v>
      </c>
    </row>
    <row r="21" spans="1:8" s="17" customFormat="1" ht="12.75">
      <c r="A21" s="29" t="s">
        <v>70</v>
      </c>
      <c r="B21" s="26"/>
      <c r="C21" s="47">
        <f aca="true" t="shared" si="6" ref="C21:H21">SUM(C20)</f>
        <v>1961803</v>
      </c>
      <c r="D21" s="47">
        <f t="shared" si="6"/>
        <v>844.9939999999999</v>
      </c>
      <c r="E21" s="47">
        <f t="shared" si="6"/>
        <v>1960958.006</v>
      </c>
      <c r="F21" s="47">
        <f t="shared" si="6"/>
        <v>0</v>
      </c>
      <c r="G21" s="47">
        <f t="shared" si="6"/>
        <v>52417.934023142705</v>
      </c>
      <c r="H21" s="47">
        <f t="shared" si="6"/>
        <v>1908540.0719768573</v>
      </c>
    </row>
    <row r="22" spans="1:8" ht="12.75">
      <c r="A22" s="27" t="s">
        <v>22</v>
      </c>
      <c r="B22" s="28">
        <v>3500</v>
      </c>
      <c r="C22" s="46">
        <f>'06_skema1-7'!J22</f>
        <v>1695922</v>
      </c>
      <c r="D22" s="46">
        <v>1093.947</v>
      </c>
      <c r="E22" s="46">
        <f t="shared" si="0"/>
        <v>1694828.053</v>
      </c>
      <c r="F22" s="2">
        <v>0</v>
      </c>
      <c r="G22" s="48">
        <v>78375.98341897725</v>
      </c>
      <c r="H22" s="46">
        <f t="shared" si="1"/>
        <v>1616452.0695810227</v>
      </c>
    </row>
    <row r="23" spans="1:8" s="17" customFormat="1" ht="12.75">
      <c r="A23" s="29" t="s">
        <v>71</v>
      </c>
      <c r="B23" s="26"/>
      <c r="C23" s="47">
        <f aca="true" t="shared" si="7" ref="C23:H23">SUM(C22)</f>
        <v>1695922</v>
      </c>
      <c r="D23" s="47">
        <f t="shared" si="7"/>
        <v>1093.947</v>
      </c>
      <c r="E23" s="47">
        <f t="shared" si="7"/>
        <v>1694828.053</v>
      </c>
      <c r="F23" s="47">
        <f t="shared" si="7"/>
        <v>0</v>
      </c>
      <c r="G23" s="47">
        <f t="shared" si="7"/>
        <v>78375.98341897725</v>
      </c>
      <c r="H23" s="47">
        <f t="shared" si="7"/>
        <v>1616452.0695810227</v>
      </c>
    </row>
    <row r="24" spans="1:8" ht="12.75">
      <c r="A24" s="27" t="s">
        <v>23</v>
      </c>
      <c r="B24" s="28">
        <v>4001</v>
      </c>
      <c r="C24" s="46">
        <f>'06_skema1-7'!J24</f>
        <v>312484</v>
      </c>
      <c r="D24" s="46">
        <v>0</v>
      </c>
      <c r="E24" s="46">
        <f t="shared" si="0"/>
        <v>312484</v>
      </c>
      <c r="F24" s="2">
        <v>0</v>
      </c>
      <c r="G24" s="48">
        <v>14140.538719367009</v>
      </c>
      <c r="H24" s="46">
        <f t="shared" si="1"/>
        <v>298343.461280633</v>
      </c>
    </row>
    <row r="25" spans="1:8" s="17" customFormat="1" ht="12.75">
      <c r="A25" s="29" t="s">
        <v>73</v>
      </c>
      <c r="B25" s="26"/>
      <c r="C25" s="47">
        <f aca="true" t="shared" si="8" ref="C25:H25">SUM(C24)</f>
        <v>312484</v>
      </c>
      <c r="D25" s="47">
        <f t="shared" si="8"/>
        <v>0</v>
      </c>
      <c r="E25" s="47">
        <f t="shared" si="8"/>
        <v>312484</v>
      </c>
      <c r="F25" s="47">
        <f t="shared" si="8"/>
        <v>0</v>
      </c>
      <c r="G25" s="47">
        <f t="shared" si="8"/>
        <v>14140.538719367009</v>
      </c>
      <c r="H25" s="47">
        <f t="shared" si="8"/>
        <v>298343.461280633</v>
      </c>
    </row>
    <row r="26" spans="1:8" ht="12.75">
      <c r="A26" s="27" t="s">
        <v>24</v>
      </c>
      <c r="B26" s="28">
        <v>4202</v>
      </c>
      <c r="C26" s="46">
        <f>'06_skema1-7'!J26</f>
        <v>3295683</v>
      </c>
      <c r="D26" s="46">
        <v>41657.791</v>
      </c>
      <c r="E26" s="46">
        <f t="shared" si="0"/>
        <v>3254025.209</v>
      </c>
      <c r="F26" s="2">
        <v>297</v>
      </c>
      <c r="G26" s="48">
        <v>256640.3603356107</v>
      </c>
      <c r="H26" s="46">
        <f t="shared" si="1"/>
        <v>2997681.848664389</v>
      </c>
    </row>
    <row r="27" spans="1:8" ht="12.75">
      <c r="A27" s="27" t="s">
        <v>25</v>
      </c>
      <c r="B27" s="28">
        <v>4212</v>
      </c>
      <c r="C27" s="46">
        <f>'06_skema1-7'!J27</f>
        <v>991800</v>
      </c>
      <c r="D27" s="46">
        <v>2528.7839999999997</v>
      </c>
      <c r="E27" s="46">
        <f t="shared" si="0"/>
        <v>989271.216</v>
      </c>
      <c r="F27" s="2">
        <v>0</v>
      </c>
      <c r="G27" s="48">
        <v>12397.160171228283</v>
      </c>
      <c r="H27" s="46">
        <f t="shared" si="1"/>
        <v>976874.0558287718</v>
      </c>
    </row>
    <row r="28" spans="1:8" s="17" customFormat="1" ht="12.75">
      <c r="A28" s="29" t="s">
        <v>74</v>
      </c>
      <c r="B28" s="26"/>
      <c r="C28" s="47">
        <f aca="true" t="shared" si="9" ref="C28:H28">SUM(C26:C27)</f>
        <v>4287483</v>
      </c>
      <c r="D28" s="47">
        <f t="shared" si="9"/>
        <v>44186.575</v>
      </c>
      <c r="E28" s="47">
        <f t="shared" si="9"/>
        <v>4243296.425</v>
      </c>
      <c r="F28" s="47">
        <f t="shared" si="9"/>
        <v>297</v>
      </c>
      <c r="G28" s="47">
        <f t="shared" si="9"/>
        <v>269037.520506839</v>
      </c>
      <c r="H28" s="47">
        <f t="shared" si="9"/>
        <v>3974555.9044931605</v>
      </c>
    </row>
    <row r="29" spans="1:8" ht="12.75">
      <c r="A29" s="27" t="s">
        <v>26</v>
      </c>
      <c r="B29" s="28">
        <v>5001</v>
      </c>
      <c r="C29" s="46">
        <f>'06_skema1-7'!J29</f>
        <v>760710</v>
      </c>
      <c r="D29" s="46">
        <v>0</v>
      </c>
      <c r="E29" s="46">
        <f t="shared" si="0"/>
        <v>760710</v>
      </c>
      <c r="F29" s="2">
        <v>0</v>
      </c>
      <c r="G29" s="48">
        <v>44103.21788805462</v>
      </c>
      <c r="H29" s="46">
        <f t="shared" si="1"/>
        <v>716606.7821119453</v>
      </c>
    </row>
    <row r="30" spans="1:8" ht="12.75">
      <c r="A30" s="27" t="s">
        <v>27</v>
      </c>
      <c r="B30" s="28">
        <v>5002</v>
      </c>
      <c r="C30" s="46">
        <f>'06_skema1-7'!J30</f>
        <v>310102</v>
      </c>
      <c r="D30" s="46">
        <v>0</v>
      </c>
      <c r="E30" s="46">
        <f t="shared" si="0"/>
        <v>310102</v>
      </c>
      <c r="F30" s="2">
        <v>0</v>
      </c>
      <c r="G30" s="48">
        <v>5961.576693498662</v>
      </c>
      <c r="H30" s="46">
        <f t="shared" si="1"/>
        <v>304140.42330650135</v>
      </c>
    </row>
    <row r="31" spans="1:8" ht="12.75">
      <c r="A31" s="27" t="s">
        <v>28</v>
      </c>
      <c r="B31" s="28">
        <v>5003</v>
      </c>
      <c r="C31" s="46">
        <f>'06_skema1-7'!J31</f>
        <v>54660</v>
      </c>
      <c r="D31" s="46">
        <v>314.032</v>
      </c>
      <c r="E31" s="46">
        <f t="shared" si="0"/>
        <v>54345.968</v>
      </c>
      <c r="F31" s="2">
        <v>0</v>
      </c>
      <c r="G31" s="48">
        <v>1094.9637981583544</v>
      </c>
      <c r="H31" s="46">
        <f t="shared" si="1"/>
        <v>53251.00420184165</v>
      </c>
    </row>
    <row r="32" spans="1:8" ht="12.75">
      <c r="A32" s="27" t="s">
        <v>29</v>
      </c>
      <c r="B32" s="28">
        <v>5004</v>
      </c>
      <c r="C32" s="46">
        <f>'06_skema1-7'!J32</f>
        <v>417177</v>
      </c>
      <c r="D32" s="46">
        <v>0</v>
      </c>
      <c r="E32" s="46">
        <f t="shared" si="0"/>
        <v>417177</v>
      </c>
      <c r="F32" s="2">
        <v>0</v>
      </c>
      <c r="G32" s="48">
        <v>487.99764140053946</v>
      </c>
      <c r="H32" s="46">
        <f t="shared" si="1"/>
        <v>416689.00235859945</v>
      </c>
    </row>
    <row r="33" spans="1:8" s="17" customFormat="1" ht="12.75">
      <c r="A33" s="29" t="s">
        <v>75</v>
      </c>
      <c r="B33" s="26"/>
      <c r="C33" s="47">
        <f aca="true" t="shared" si="10" ref="C33:H33">SUM(C29:C32)</f>
        <v>1542649</v>
      </c>
      <c r="D33" s="47">
        <f t="shared" si="10"/>
        <v>314.032</v>
      </c>
      <c r="E33" s="47">
        <f t="shared" si="10"/>
        <v>1542334.968</v>
      </c>
      <c r="F33" s="47">
        <f t="shared" si="10"/>
        <v>0</v>
      </c>
      <c r="G33" s="47">
        <f t="shared" si="10"/>
        <v>51647.75602111217</v>
      </c>
      <c r="H33" s="47">
        <f t="shared" si="10"/>
        <v>1490687.2119788877</v>
      </c>
    </row>
    <row r="34" spans="1:8" ht="12.75">
      <c r="A34" s="27" t="s">
        <v>30</v>
      </c>
      <c r="B34" s="28">
        <v>5501</v>
      </c>
      <c r="C34" s="46">
        <f>'06_skema1-7'!J34</f>
        <v>1329984</v>
      </c>
      <c r="D34" s="46">
        <v>2572</v>
      </c>
      <c r="E34" s="46">
        <f t="shared" si="0"/>
        <v>1327412</v>
      </c>
      <c r="F34" s="2">
        <v>26</v>
      </c>
      <c r="G34" s="48">
        <v>69194.381470578</v>
      </c>
      <c r="H34" s="46">
        <f t="shared" si="1"/>
        <v>1258243.618529422</v>
      </c>
    </row>
    <row r="35" spans="1:8" s="17" customFormat="1" ht="12.75">
      <c r="A35" s="29" t="s">
        <v>76</v>
      </c>
      <c r="B35" s="26"/>
      <c r="C35" s="47">
        <f aca="true" t="shared" si="11" ref="C35:H35">SUM(C34)</f>
        <v>1329984</v>
      </c>
      <c r="D35" s="47">
        <f t="shared" si="11"/>
        <v>2572</v>
      </c>
      <c r="E35" s="47">
        <f t="shared" si="11"/>
        <v>1327412</v>
      </c>
      <c r="F35" s="47">
        <f t="shared" si="11"/>
        <v>26</v>
      </c>
      <c r="G35" s="47">
        <f t="shared" si="11"/>
        <v>69194.381470578</v>
      </c>
      <c r="H35" s="47">
        <f t="shared" si="11"/>
        <v>1258243.618529422</v>
      </c>
    </row>
    <row r="36" spans="1:8" ht="12.75">
      <c r="A36" s="27" t="s">
        <v>31</v>
      </c>
      <c r="B36" s="28">
        <v>6002</v>
      </c>
      <c r="C36" s="46">
        <f>'06_skema1-7'!J36</f>
        <v>91301</v>
      </c>
      <c r="D36" s="46">
        <v>429.72799999999995</v>
      </c>
      <c r="E36" s="46">
        <f t="shared" si="0"/>
        <v>90871.272</v>
      </c>
      <c r="F36" s="2">
        <v>0</v>
      </c>
      <c r="G36" s="48">
        <v>4029.6510759142616</v>
      </c>
      <c r="H36" s="46">
        <f t="shared" si="1"/>
        <v>86841.62092408574</v>
      </c>
    </row>
    <row r="37" spans="1:8" ht="12.75">
      <c r="A37" s="27" t="s">
        <v>32</v>
      </c>
      <c r="B37" s="28">
        <v>6004</v>
      </c>
      <c r="C37" s="46">
        <f>'06_skema1-7'!J37</f>
        <v>92626</v>
      </c>
      <c r="D37" s="46">
        <v>0</v>
      </c>
      <c r="E37" s="46">
        <f t="shared" si="0"/>
        <v>92626</v>
      </c>
      <c r="F37" s="2">
        <v>0</v>
      </c>
      <c r="G37" s="48">
        <v>951</v>
      </c>
      <c r="H37" s="46">
        <f t="shared" si="1"/>
        <v>91675</v>
      </c>
    </row>
    <row r="38" spans="1:8" ht="12.75">
      <c r="A38" s="27" t="s">
        <v>33</v>
      </c>
      <c r="B38" s="28">
        <v>6006</v>
      </c>
      <c r="C38" s="46">
        <f>'06_skema1-7'!J38</f>
        <v>461844</v>
      </c>
      <c r="D38" s="46">
        <v>1346</v>
      </c>
      <c r="E38" s="46">
        <f t="shared" si="0"/>
        <v>460498</v>
      </c>
      <c r="F38" s="2">
        <v>0</v>
      </c>
      <c r="G38" s="48">
        <v>8952.006924336083</v>
      </c>
      <c r="H38" s="46">
        <f t="shared" si="1"/>
        <v>451545.9930756639</v>
      </c>
    </row>
    <row r="39" spans="1:8" ht="12.75">
      <c r="A39" s="27" t="s">
        <v>34</v>
      </c>
      <c r="B39" s="28">
        <v>6007</v>
      </c>
      <c r="C39" s="46">
        <f>'06_skema1-7'!J39</f>
        <v>964267</v>
      </c>
      <c r="D39" s="46">
        <v>686.945</v>
      </c>
      <c r="E39" s="46">
        <f t="shared" si="0"/>
        <v>963580.055</v>
      </c>
      <c r="F39" s="2">
        <f>2137+778</f>
        <v>2915</v>
      </c>
      <c r="G39" s="48">
        <v>32203.674214807168</v>
      </c>
      <c r="H39" s="46">
        <f t="shared" si="1"/>
        <v>934291.3807851928</v>
      </c>
    </row>
    <row r="40" spans="1:8" ht="12.75">
      <c r="A40" s="27" t="s">
        <v>35</v>
      </c>
      <c r="B40" s="28">
        <v>6008</v>
      </c>
      <c r="C40" s="46">
        <f>'06_skema1-7'!J40</f>
        <v>899315</v>
      </c>
      <c r="D40" s="46">
        <v>6668</v>
      </c>
      <c r="E40" s="46">
        <f t="shared" si="0"/>
        <v>892647</v>
      </c>
      <c r="F40" s="2">
        <v>0</v>
      </c>
      <c r="G40" s="48">
        <v>124971</v>
      </c>
      <c r="H40" s="46">
        <f t="shared" si="1"/>
        <v>767676</v>
      </c>
    </row>
    <row r="41" spans="1:8" ht="12.75">
      <c r="A41" s="27" t="s">
        <v>36</v>
      </c>
      <c r="B41" s="28">
        <v>6014</v>
      </c>
      <c r="C41" s="46">
        <f>'06_skema1-7'!J41</f>
        <v>44204</v>
      </c>
      <c r="D41" s="46">
        <v>0</v>
      </c>
      <c r="E41" s="46">
        <f t="shared" si="0"/>
        <v>44204</v>
      </c>
      <c r="F41" s="2">
        <v>0</v>
      </c>
      <c r="G41" s="48">
        <v>1084.2315119999998</v>
      </c>
      <c r="H41" s="46">
        <f t="shared" si="1"/>
        <v>43119.768488</v>
      </c>
    </row>
    <row r="42" spans="1:8" s="17" customFormat="1" ht="12.75">
      <c r="A42" s="29" t="s">
        <v>77</v>
      </c>
      <c r="B42" s="26"/>
      <c r="C42" s="47">
        <f aca="true" t="shared" si="12" ref="C42:H42">SUM(C36:C41)</f>
        <v>2553557</v>
      </c>
      <c r="D42" s="47">
        <f t="shared" si="12"/>
        <v>9130.673</v>
      </c>
      <c r="E42" s="47">
        <f t="shared" si="12"/>
        <v>2544426.327</v>
      </c>
      <c r="F42" s="47">
        <f t="shared" si="12"/>
        <v>2915</v>
      </c>
      <c r="G42" s="47">
        <f t="shared" si="12"/>
        <v>172191.5637270575</v>
      </c>
      <c r="H42" s="47">
        <f t="shared" si="12"/>
        <v>2375149.7632729425</v>
      </c>
    </row>
    <row r="43" spans="1:8" ht="12.75">
      <c r="A43" s="27" t="s">
        <v>37</v>
      </c>
      <c r="B43" s="28">
        <v>6501</v>
      </c>
      <c r="C43" s="46">
        <f>'06_skema1-7'!J43</f>
        <v>713092</v>
      </c>
      <c r="D43" s="46">
        <v>2864</v>
      </c>
      <c r="E43" s="46">
        <f t="shared" si="0"/>
        <v>710228</v>
      </c>
      <c r="F43" s="2">
        <v>464</v>
      </c>
      <c r="G43" s="48">
        <v>49191.781277475566</v>
      </c>
      <c r="H43" s="46">
        <f t="shared" si="1"/>
        <v>661500.2187225245</v>
      </c>
    </row>
    <row r="44" spans="1:8" ht="12.75">
      <c r="A44" s="27" t="s">
        <v>38</v>
      </c>
      <c r="B44" s="28">
        <v>6502</v>
      </c>
      <c r="C44" s="46">
        <f>'06_skema1-7'!J44</f>
        <v>668647</v>
      </c>
      <c r="D44" s="46">
        <v>2381</v>
      </c>
      <c r="E44" s="46">
        <f t="shared" si="0"/>
        <v>666266</v>
      </c>
      <c r="F44" s="2">
        <v>458</v>
      </c>
      <c r="G44" s="48">
        <v>40489.49817473608</v>
      </c>
      <c r="H44" s="46">
        <f t="shared" si="1"/>
        <v>626234.501825264</v>
      </c>
    </row>
    <row r="45" spans="1:8" ht="12.75">
      <c r="A45" s="27" t="s">
        <v>39</v>
      </c>
      <c r="B45" s="28">
        <v>6503</v>
      </c>
      <c r="C45" s="46">
        <f>'06_skema1-7'!J45</f>
        <v>26882</v>
      </c>
      <c r="D45" s="46">
        <v>124</v>
      </c>
      <c r="E45" s="46">
        <f t="shared" si="0"/>
        <v>26758</v>
      </c>
      <c r="F45" s="2">
        <v>0</v>
      </c>
      <c r="G45" s="48">
        <v>161.0395166982793</v>
      </c>
      <c r="H45" s="46">
        <f t="shared" si="1"/>
        <v>26596.960483301722</v>
      </c>
    </row>
    <row r="46" spans="1:8" ht="12.75">
      <c r="A46" s="27" t="s">
        <v>40</v>
      </c>
      <c r="B46" s="28">
        <v>6504</v>
      </c>
      <c r="C46" s="46">
        <f>'06_skema1-7'!J46</f>
        <v>83840</v>
      </c>
      <c r="D46" s="46">
        <v>478</v>
      </c>
      <c r="E46" s="46">
        <f t="shared" si="0"/>
        <v>83362</v>
      </c>
      <c r="F46" s="2">
        <v>25</v>
      </c>
      <c r="G46" s="48">
        <v>502.1309569222988</v>
      </c>
      <c r="H46" s="46">
        <f t="shared" si="1"/>
        <v>82884.8690430777</v>
      </c>
    </row>
    <row r="47" spans="1:8" ht="12.75">
      <c r="A47" s="27" t="s">
        <v>41</v>
      </c>
      <c r="B47" s="28">
        <v>6505</v>
      </c>
      <c r="C47" s="46">
        <f>'06_skema1-7'!J47</f>
        <v>41883</v>
      </c>
      <c r="D47" s="46">
        <v>83</v>
      </c>
      <c r="E47" s="46">
        <f t="shared" si="0"/>
        <v>41800</v>
      </c>
      <c r="F47" s="2">
        <v>0</v>
      </c>
      <c r="G47" s="48">
        <v>58.27943193480923</v>
      </c>
      <c r="H47" s="46">
        <f t="shared" si="1"/>
        <v>41741.72056806519</v>
      </c>
    </row>
    <row r="48" spans="1:8" s="17" customFormat="1" ht="12.75">
      <c r="A48" s="29" t="s">
        <v>78</v>
      </c>
      <c r="B48" s="26"/>
      <c r="C48" s="47">
        <f aca="true" t="shared" si="13" ref="C48:H48">SUM(C43:C47)</f>
        <v>1534344</v>
      </c>
      <c r="D48" s="47">
        <f t="shared" si="13"/>
        <v>5930</v>
      </c>
      <c r="E48" s="47">
        <f t="shared" si="13"/>
        <v>1528414</v>
      </c>
      <c r="F48" s="47">
        <f t="shared" si="13"/>
        <v>947</v>
      </c>
      <c r="G48" s="47">
        <f t="shared" si="13"/>
        <v>90402.72935776702</v>
      </c>
      <c r="H48" s="47">
        <f t="shared" si="13"/>
        <v>1438958.270642233</v>
      </c>
    </row>
    <row r="49" spans="1:8" ht="12.75">
      <c r="A49" s="27" t="s">
        <v>42</v>
      </c>
      <c r="B49" s="28">
        <v>7002</v>
      </c>
      <c r="C49" s="46">
        <f>'06_skema1-7'!J49</f>
        <v>495103</v>
      </c>
      <c r="D49" s="46">
        <v>0</v>
      </c>
      <c r="E49" s="46">
        <f t="shared" si="0"/>
        <v>495103</v>
      </c>
      <c r="F49" s="2">
        <v>44</v>
      </c>
      <c r="G49" s="48">
        <v>3577.918463190419</v>
      </c>
      <c r="H49" s="46">
        <f t="shared" si="1"/>
        <v>491569.08153680956</v>
      </c>
    </row>
    <row r="50" spans="1:8" ht="12.75">
      <c r="A50" s="27" t="s">
        <v>43</v>
      </c>
      <c r="B50" s="28">
        <v>7003</v>
      </c>
      <c r="C50" s="46">
        <f>'06_skema1-7'!J50</f>
        <v>2752391</v>
      </c>
      <c r="D50" s="46">
        <v>73237</v>
      </c>
      <c r="E50" s="46">
        <f t="shared" si="0"/>
        <v>2679154</v>
      </c>
      <c r="F50" s="2">
        <v>0</v>
      </c>
      <c r="G50" s="48">
        <v>160500.673181685</v>
      </c>
      <c r="H50" s="46">
        <f t="shared" si="1"/>
        <v>2518653.326818315</v>
      </c>
    </row>
    <row r="51" spans="1:8" ht="12.75">
      <c r="A51" s="27" t="s">
        <v>44</v>
      </c>
      <c r="B51" s="28">
        <v>7005</v>
      </c>
      <c r="C51" s="46">
        <f>'06_skema1-7'!J51</f>
        <v>791831</v>
      </c>
      <c r="D51" s="46">
        <v>0</v>
      </c>
      <c r="E51" s="46">
        <f t="shared" si="0"/>
        <v>791831</v>
      </c>
      <c r="F51" s="2">
        <v>0</v>
      </c>
      <c r="G51" s="48">
        <v>7454.716383180732</v>
      </c>
      <c r="H51" s="46">
        <f t="shared" si="1"/>
        <v>784376.2836168193</v>
      </c>
    </row>
    <row r="52" spans="1:8" ht="12.75">
      <c r="A52" s="27" t="s">
        <v>45</v>
      </c>
      <c r="B52" s="28">
        <v>7026</v>
      </c>
      <c r="C52" s="46">
        <f>'06_skema1-7'!J52</f>
        <v>1625395</v>
      </c>
      <c r="D52" s="46">
        <v>35788.284999999996</v>
      </c>
      <c r="E52" s="46">
        <f t="shared" si="0"/>
        <v>1589606.715</v>
      </c>
      <c r="F52" s="2">
        <v>0</v>
      </c>
      <c r="G52" s="48">
        <v>214667.5873989283</v>
      </c>
      <c r="H52" s="46">
        <f t="shared" si="1"/>
        <v>1374939.1276010717</v>
      </c>
    </row>
    <row r="53" spans="1:8" s="17" customFormat="1" ht="12.75">
      <c r="A53" s="29" t="s">
        <v>79</v>
      </c>
      <c r="B53" s="26"/>
      <c r="C53" s="47">
        <f aca="true" t="shared" si="14" ref="C53:H53">SUM(C49:C52)</f>
        <v>5664720</v>
      </c>
      <c r="D53" s="47">
        <f t="shared" si="14"/>
        <v>109025.285</v>
      </c>
      <c r="E53" s="47">
        <f t="shared" si="14"/>
        <v>5555694.715</v>
      </c>
      <c r="F53" s="47">
        <f t="shared" si="14"/>
        <v>44</v>
      </c>
      <c r="G53" s="47">
        <f t="shared" si="14"/>
        <v>386200.8954269844</v>
      </c>
      <c r="H53" s="47">
        <f t="shared" si="14"/>
        <v>5169537.819573015</v>
      </c>
    </row>
    <row r="54" spans="1:8" ht="12.75">
      <c r="A54" s="27" t="s">
        <v>46</v>
      </c>
      <c r="B54" s="28">
        <v>7601</v>
      </c>
      <c r="C54" s="46">
        <f>'06_skema1-7'!J54</f>
        <v>1266469</v>
      </c>
      <c r="D54" s="46">
        <v>1782.9579999999999</v>
      </c>
      <c r="E54" s="46">
        <f t="shared" si="0"/>
        <v>1264686.042</v>
      </c>
      <c r="F54" s="2">
        <v>0</v>
      </c>
      <c r="G54" s="48">
        <v>72451.41903835336</v>
      </c>
      <c r="H54" s="46">
        <f t="shared" si="1"/>
        <v>1192234.6229616466</v>
      </c>
    </row>
    <row r="55" spans="1:8" ht="12.75">
      <c r="A55" s="27" t="s">
        <v>47</v>
      </c>
      <c r="B55" s="28">
        <v>7603</v>
      </c>
      <c r="C55" s="46">
        <f>'06_skema1-7'!J55</f>
        <v>342616</v>
      </c>
      <c r="D55" s="46">
        <v>448.32199999999995</v>
      </c>
      <c r="E55" s="46">
        <f t="shared" si="0"/>
        <v>342167.678</v>
      </c>
      <c r="F55" s="2">
        <v>0</v>
      </c>
      <c r="G55" s="48">
        <v>3932.2125077336696</v>
      </c>
      <c r="H55" s="46">
        <f t="shared" si="1"/>
        <v>338235.46549226635</v>
      </c>
    </row>
    <row r="56" spans="1:8" s="17" customFormat="1" ht="12.75">
      <c r="A56" s="29" t="s">
        <v>80</v>
      </c>
      <c r="B56" s="26"/>
      <c r="C56" s="47">
        <f aca="true" t="shared" si="15" ref="C56:H56">SUM(C54:C55)</f>
        <v>1609085</v>
      </c>
      <c r="D56" s="47">
        <f t="shared" si="15"/>
        <v>2231.2799999999997</v>
      </c>
      <c r="E56" s="47">
        <f t="shared" si="15"/>
        <v>1606853.72</v>
      </c>
      <c r="F56" s="47">
        <f t="shared" si="15"/>
        <v>0</v>
      </c>
      <c r="G56" s="49">
        <f t="shared" si="15"/>
        <v>76383.63154608702</v>
      </c>
      <c r="H56" s="47">
        <f t="shared" si="15"/>
        <v>1530470.088453913</v>
      </c>
    </row>
    <row r="57" spans="1:8" ht="12.75">
      <c r="A57" s="27" t="s">
        <v>48</v>
      </c>
      <c r="B57" s="28">
        <v>8001</v>
      </c>
      <c r="C57" s="46">
        <f>'06_skema1-7'!J57-8061</f>
        <v>2418566</v>
      </c>
      <c r="D57" s="46">
        <v>55700</v>
      </c>
      <c r="E57" s="46">
        <f t="shared" si="0"/>
        <v>2362866</v>
      </c>
      <c r="F57" s="2">
        <v>0</v>
      </c>
      <c r="G57" s="50">
        <v>137432.01140987285</v>
      </c>
      <c r="H57" s="46">
        <f t="shared" si="1"/>
        <v>2225433.9885901273</v>
      </c>
    </row>
    <row r="58" spans="1:8" ht="12.75">
      <c r="A58" s="27" t="s">
        <v>49</v>
      </c>
      <c r="B58" s="28">
        <v>8003</v>
      </c>
      <c r="C58" s="46">
        <f>'06_skema1-7'!J58</f>
        <v>707561</v>
      </c>
      <c r="D58" s="46">
        <v>0</v>
      </c>
      <c r="E58" s="46">
        <f t="shared" si="0"/>
        <v>707561</v>
      </c>
      <c r="F58" s="2">
        <v>0</v>
      </c>
      <c r="G58" s="50">
        <v>18555.463001504166</v>
      </c>
      <c r="H58" s="46">
        <f t="shared" si="1"/>
        <v>689005.5369984958</v>
      </c>
    </row>
    <row r="59" spans="1:8" ht="12.75">
      <c r="A59" s="30" t="s">
        <v>50</v>
      </c>
      <c r="B59" s="31">
        <v>8005</v>
      </c>
      <c r="C59" s="46">
        <f>'06_skema1-7'!J59</f>
        <v>174246</v>
      </c>
      <c r="D59" s="50">
        <v>0</v>
      </c>
      <c r="E59" s="46">
        <f t="shared" si="0"/>
        <v>174246</v>
      </c>
      <c r="F59" s="2">
        <v>0</v>
      </c>
      <c r="G59" s="50">
        <v>414.0245352041689</v>
      </c>
      <c r="H59" s="46">
        <f t="shared" si="1"/>
        <v>173831.97546479583</v>
      </c>
    </row>
    <row r="60" spans="1:8" ht="12.75">
      <c r="A60" s="30" t="s">
        <v>51</v>
      </c>
      <c r="B60" s="31">
        <v>8040</v>
      </c>
      <c r="C60" s="46">
        <f>'06_skema1-7'!J60</f>
        <v>506099</v>
      </c>
      <c r="D60" s="50">
        <v>0</v>
      </c>
      <c r="E60" s="46">
        <f t="shared" si="0"/>
        <v>506099</v>
      </c>
      <c r="F60" s="2">
        <v>0</v>
      </c>
      <c r="G60" s="50">
        <v>1357.8621272669352</v>
      </c>
      <c r="H60" s="46">
        <f t="shared" si="1"/>
        <v>504741.13787273306</v>
      </c>
    </row>
    <row r="61" spans="1:8" s="111" customFormat="1" ht="12.75">
      <c r="A61" s="32" t="s">
        <v>81</v>
      </c>
      <c r="B61" s="20"/>
      <c r="C61" s="51">
        <f aca="true" t="shared" si="16" ref="C61:H61">SUM(C57:C60)</f>
        <v>3806472</v>
      </c>
      <c r="D61" s="51">
        <f t="shared" si="16"/>
        <v>55700</v>
      </c>
      <c r="E61" s="51">
        <f t="shared" si="16"/>
        <v>3750772</v>
      </c>
      <c r="F61" s="51">
        <f t="shared" si="16"/>
        <v>0</v>
      </c>
      <c r="G61" s="51">
        <f t="shared" si="16"/>
        <v>157759.36107384812</v>
      </c>
      <c r="H61" s="51">
        <f t="shared" si="16"/>
        <v>3593012.638926152</v>
      </c>
    </row>
    <row r="62" spans="1:8" s="115" customFormat="1" ht="12.75">
      <c r="A62" s="77" t="s">
        <v>52</v>
      </c>
      <c r="B62" s="77"/>
      <c r="C62" s="112">
        <f aca="true" t="shared" si="17" ref="C62:H62">C9+C14+C16+C19+C21+C23+C25+C28+C33+C35+C42+C48+C53+C56+C61</f>
        <v>43120752</v>
      </c>
      <c r="D62" s="112">
        <f t="shared" si="17"/>
        <v>568637.283</v>
      </c>
      <c r="E62" s="112">
        <f t="shared" si="17"/>
        <v>42552114.71699999</v>
      </c>
      <c r="F62" s="112">
        <f t="shared" si="17"/>
        <v>24582</v>
      </c>
      <c r="G62" s="112">
        <f t="shared" si="17"/>
        <v>2617691.5511871898</v>
      </c>
      <c r="H62" s="112">
        <f t="shared" si="17"/>
        <v>39959005.165812805</v>
      </c>
    </row>
    <row r="63" spans="3:8" ht="12.75">
      <c r="C63" s="46"/>
      <c r="D63" s="46"/>
      <c r="E63" s="46"/>
      <c r="F63" s="46"/>
      <c r="G63" s="46"/>
      <c r="H63" s="46"/>
    </row>
    <row r="64" spans="1:8" ht="12.75">
      <c r="A64" s="27" t="s">
        <v>89</v>
      </c>
      <c r="C64" s="46"/>
      <c r="D64" s="46"/>
      <c r="E64" s="46"/>
      <c r="F64" s="46"/>
      <c r="G64" s="46"/>
      <c r="H64" s="46"/>
    </row>
    <row r="65" ht="12.75">
      <c r="F65" s="10"/>
    </row>
    <row r="66" ht="12.75">
      <c r="F66" s="10"/>
    </row>
    <row r="67" spans="1:6" ht="12.75">
      <c r="A67" s="116" t="s">
        <v>120</v>
      </c>
      <c r="F67" s="10"/>
    </row>
    <row r="68" spans="1:10" ht="12.75">
      <c r="A68" s="117" t="s">
        <v>115</v>
      </c>
      <c r="C68" s="46">
        <f>SUM(C4:C8,C10:C13,C15,C24)</f>
        <v>15521674</v>
      </c>
      <c r="D68" s="46">
        <f>SUM(D4:D8,D10:D13,D15,D24)</f>
        <v>337186</v>
      </c>
      <c r="E68" s="46">
        <f>C68-D68</f>
        <v>15184488</v>
      </c>
      <c r="F68" s="46">
        <f>SUM(F4:F8,F10:F13,F15,F24)</f>
        <v>13254</v>
      </c>
      <c r="G68" s="46">
        <f>SUM(G4:G8,G10:G13,G15,G24)</f>
        <v>1154372.0889970711</v>
      </c>
      <c r="H68" s="46">
        <f>E68+F68-G68</f>
        <v>14043369.911002928</v>
      </c>
      <c r="I68" s="46"/>
      <c r="J68" s="46"/>
    </row>
    <row r="69" spans="1:10" ht="12.75">
      <c r="A69" s="117" t="s">
        <v>116</v>
      </c>
      <c r="C69" s="46">
        <f>SUM(C17:C18,C20,C22)</f>
        <v>5270784</v>
      </c>
      <c r="D69" s="46">
        <f>SUM(D17:D18,D20,D22)</f>
        <v>2361.438</v>
      </c>
      <c r="E69" s="46">
        <f>C69-D69</f>
        <v>5268422.562</v>
      </c>
      <c r="F69" s="46">
        <f>SUM(F17:F18,F20,F22)</f>
        <v>7099</v>
      </c>
      <c r="G69" s="46">
        <f>SUM(G17:G18,G20,G22)</f>
        <v>190501.6230598449</v>
      </c>
      <c r="H69" s="46">
        <f>E69+F69-G69</f>
        <v>5085019.938940155</v>
      </c>
      <c r="I69" s="46"/>
      <c r="J69" s="46"/>
    </row>
    <row r="70" spans="1:10" ht="12.75">
      <c r="A70" s="117" t="s">
        <v>117</v>
      </c>
      <c r="C70" s="46">
        <f>SUM(C26:C27,C29:C32,C34,C37,C39:C41)</f>
        <v>9160528</v>
      </c>
      <c r="D70" s="46">
        <f>SUM(D26:D27,D29:D32,D34,D37,D39:D41)</f>
        <v>54427.551999999996</v>
      </c>
      <c r="E70" s="46">
        <f>C70-D70</f>
        <v>9106100.448</v>
      </c>
      <c r="F70" s="46">
        <f>SUM(F26:F27,F29:F32,F34,F37,F39:F41)</f>
        <v>3238</v>
      </c>
      <c r="G70" s="46">
        <f>SUM(G26:G27,G29:G32,G34,G37,G39:G41)</f>
        <v>549089.5637253363</v>
      </c>
      <c r="H70" s="46">
        <f>E70+F70-G70</f>
        <v>8560248.884274665</v>
      </c>
      <c r="I70" s="46"/>
      <c r="J70" s="46"/>
    </row>
    <row r="71" spans="1:10" ht="12.75">
      <c r="A71" s="117" t="s">
        <v>118</v>
      </c>
      <c r="C71" s="46">
        <f>SUM(C36,C38,C43:C47,C49:C52,C54)</f>
        <v>9018678</v>
      </c>
      <c r="D71" s="46">
        <f>SUM(D36,D38,D43:D47,D49:D52,D54)</f>
        <v>118513.971</v>
      </c>
      <c r="E71" s="46">
        <f>C71-D71</f>
        <v>8900164.029</v>
      </c>
      <c r="F71" s="46">
        <f>SUM(F36,F38,F43:F47,F49:F52,F54)</f>
        <v>991</v>
      </c>
      <c r="G71" s="46">
        <f>SUM(G36,G38,G43:G47,G49:G52,G54)</f>
        <v>562036.7018233552</v>
      </c>
      <c r="H71" s="46">
        <f>E71+F71-G71</f>
        <v>8339118.327176644</v>
      </c>
      <c r="I71" s="46"/>
      <c r="J71" s="46"/>
    </row>
    <row r="72" spans="1:10" ht="12.75">
      <c r="A72" s="117" t="s">
        <v>119</v>
      </c>
      <c r="C72" s="46">
        <f>SUM(C55,C57:C60)</f>
        <v>4149088</v>
      </c>
      <c r="D72" s="46">
        <f>SUM(D55,D57:D60)</f>
        <v>56148.322</v>
      </c>
      <c r="E72" s="46">
        <f>C72-D72</f>
        <v>4092939.678</v>
      </c>
      <c r="F72" s="46">
        <f>SUM(F55,F57:F60)</f>
        <v>0</v>
      </c>
      <c r="G72" s="46">
        <f>SUM(G55,G57:G60)</f>
        <v>161691.5735815818</v>
      </c>
      <c r="H72" s="46">
        <f>E72+F72-G72</f>
        <v>3931248.104418418</v>
      </c>
      <c r="I72" s="46"/>
      <c r="J72" s="46"/>
    </row>
    <row r="73" ht="12.75">
      <c r="F73" s="10"/>
    </row>
    <row r="74" ht="12.75">
      <c r="F74" s="10"/>
    </row>
    <row r="75" ht="12.75">
      <c r="F75" s="10"/>
    </row>
    <row r="76" ht="12.75">
      <c r="F76" s="10"/>
    </row>
    <row r="77" ht="12.75">
      <c r="F77" s="10"/>
    </row>
    <row r="78" ht="12.75">
      <c r="F78" s="10"/>
    </row>
    <row r="79" ht="12.75">
      <c r="F79" s="10"/>
    </row>
    <row r="80" ht="12.75">
      <c r="F80" s="10"/>
    </row>
    <row r="81" ht="12.75">
      <c r="F81" s="10"/>
    </row>
    <row r="82" ht="12.75">
      <c r="F82" s="10"/>
    </row>
    <row r="83" ht="12.75">
      <c r="F83" s="10"/>
    </row>
    <row r="84" ht="12.75">
      <c r="F84" s="10"/>
    </row>
    <row r="85" ht="12.75">
      <c r="F85" s="10"/>
    </row>
    <row r="86" ht="12.75">
      <c r="F86" s="10"/>
    </row>
    <row r="87" ht="12.75">
      <c r="F87" s="10"/>
    </row>
    <row r="88" ht="12.75">
      <c r="F88" s="10"/>
    </row>
    <row r="89" ht="12.75">
      <c r="F89" s="10"/>
    </row>
    <row r="90" ht="12.75">
      <c r="F90" s="10"/>
    </row>
    <row r="91" ht="12.75">
      <c r="F91" s="10"/>
    </row>
    <row r="92" ht="12.75">
      <c r="F92" s="10"/>
    </row>
    <row r="93" ht="12.75">
      <c r="F93" s="10"/>
    </row>
  </sheetData>
  <sheetProtection/>
  <printOptions/>
  <pageMargins left="0.7874015748031497" right="0.7874015748031497" top="0.7874015748031497" bottom="0.7874015748031497" header="0" footer="0"/>
  <pageSetup horizontalDpi="600" verticalDpi="600" orientation="landscape" paperSize="9" r:id="rId1"/>
  <headerFooter alignWithMargins="0">
    <oddFooter>&amp;C&amp;P af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74"/>
  <sheetViews>
    <sheetView zoomScalePageLayoutView="0" workbookViewId="0" topLeftCell="A1">
      <selection activeCell="J40" sqref="J40"/>
    </sheetView>
  </sheetViews>
  <sheetFormatPr defaultColWidth="8.8515625" defaultRowHeight="12.75"/>
  <cols>
    <col min="1" max="1" width="22.28125" style="68" customWidth="1"/>
    <col min="2" max="2" width="4.421875" style="68" customWidth="1"/>
    <col min="3" max="3" width="12.28125" style="34" customWidth="1"/>
    <col min="4" max="5" width="12.28125" style="69" customWidth="1"/>
    <col min="6" max="10" width="12.28125" style="34" customWidth="1"/>
    <col min="11" max="16384" width="8.8515625" style="68" customWidth="1"/>
  </cols>
  <sheetData>
    <row r="1" spans="1:10" s="66" customFormat="1" ht="12.75" customHeight="1">
      <c r="A1" s="120" t="s">
        <v>86</v>
      </c>
      <c r="C1" s="35"/>
      <c r="D1" s="67"/>
      <c r="E1" s="67"/>
      <c r="F1" s="35"/>
      <c r="G1" s="35"/>
      <c r="H1" s="35"/>
      <c r="I1" s="35"/>
      <c r="J1" s="35"/>
    </row>
    <row r="2" ht="12.75" customHeight="1">
      <c r="A2" s="121" t="s">
        <v>101</v>
      </c>
    </row>
    <row r="3" spans="1:10" ht="72" customHeight="1">
      <c r="A3" s="71" t="s">
        <v>1</v>
      </c>
      <c r="B3" s="122" t="s">
        <v>66</v>
      </c>
      <c r="C3" s="122" t="s">
        <v>64</v>
      </c>
      <c r="D3" s="122" t="s">
        <v>102</v>
      </c>
      <c r="E3" s="122" t="s">
        <v>110</v>
      </c>
      <c r="F3" s="122" t="s">
        <v>65</v>
      </c>
      <c r="G3" s="122" t="s">
        <v>96</v>
      </c>
      <c r="H3" s="122" t="s">
        <v>63</v>
      </c>
      <c r="I3" s="122" t="s">
        <v>114</v>
      </c>
      <c r="J3" s="122" t="s">
        <v>62</v>
      </c>
    </row>
    <row r="4" spans="1:10" ht="12.75" customHeight="1">
      <c r="A4" s="27" t="s">
        <v>9</v>
      </c>
      <c r="B4" s="73">
        <v>1301</v>
      </c>
      <c r="C4" s="34">
        <v>3853054.415001242</v>
      </c>
      <c r="D4" s="34">
        <v>936.6160000003874</v>
      </c>
      <c r="E4" s="34">
        <v>0</v>
      </c>
      <c r="F4" s="34">
        <v>206116.83100213995</v>
      </c>
      <c r="G4" s="34">
        <v>-28614.88151335111</v>
      </c>
      <c r="H4" s="34">
        <v>0</v>
      </c>
      <c r="I4" s="50">
        <v>-98924.98768294495</v>
      </c>
      <c r="J4" s="34">
        <f>C4-D4-E4-F4-G4-H4-I4</f>
        <v>3773540.837195398</v>
      </c>
    </row>
    <row r="5" spans="1:10" ht="12.75" customHeight="1">
      <c r="A5" s="27" t="s">
        <v>10</v>
      </c>
      <c r="B5" s="73">
        <v>1309</v>
      </c>
      <c r="C5" s="34">
        <v>1121670.2300006489</v>
      </c>
      <c r="D5" s="34">
        <v>0</v>
      </c>
      <c r="E5" s="34">
        <v>0</v>
      </c>
      <c r="F5" s="34">
        <v>21496.00999999931</v>
      </c>
      <c r="G5" s="34">
        <v>21668.23997748876</v>
      </c>
      <c r="H5" s="34">
        <v>0</v>
      </c>
      <c r="I5" s="123">
        <v>0</v>
      </c>
      <c r="J5" s="34">
        <f aca="true" t="shared" si="0" ref="J5:J62">C5-D5-E5-F5-G5-H5-I5</f>
        <v>1078505.9800231608</v>
      </c>
    </row>
    <row r="6" spans="1:10" ht="12.75" customHeight="1">
      <c r="A6" s="27" t="s">
        <v>11</v>
      </c>
      <c r="B6" s="73">
        <v>1330</v>
      </c>
      <c r="C6" s="34">
        <v>1479033.597000827</v>
      </c>
      <c r="D6" s="34">
        <v>0</v>
      </c>
      <c r="E6" s="34">
        <v>0</v>
      </c>
      <c r="F6" s="34">
        <v>31206.173999875784</v>
      </c>
      <c r="G6" s="34">
        <v>11464.521599872038</v>
      </c>
      <c r="H6" s="34">
        <v>21575.724</v>
      </c>
      <c r="I6" s="123">
        <v>0</v>
      </c>
      <c r="J6" s="34">
        <f t="shared" si="0"/>
        <v>1414787.1774010793</v>
      </c>
    </row>
    <row r="7" spans="1:10" ht="12.75" customHeight="1">
      <c r="A7" s="27" t="s">
        <v>12</v>
      </c>
      <c r="B7" s="73">
        <v>1351</v>
      </c>
      <c r="C7" s="34">
        <f>552724.414000042*0.641</f>
        <v>354296.34937402693</v>
      </c>
      <c r="D7" s="34">
        <f>4468.03200000024*0.641</f>
        <v>2864.008512000154</v>
      </c>
      <c r="E7" s="34">
        <v>0</v>
      </c>
      <c r="F7" s="34">
        <f>10.6859999999869*0.641</f>
        <v>6.849725999991603</v>
      </c>
      <c r="G7" s="34">
        <f>3647.97878751386*0.641</f>
        <v>2338.3544027963844</v>
      </c>
      <c r="H7" s="34">
        <v>0</v>
      </c>
      <c r="I7" s="123">
        <v>0</v>
      </c>
      <c r="J7" s="34">
        <f t="shared" si="0"/>
        <v>349087.13673323044</v>
      </c>
    </row>
    <row r="8" spans="1:10" ht="12.75" customHeight="1">
      <c r="A8" s="27" t="s">
        <v>13</v>
      </c>
      <c r="B8" s="73">
        <v>1401</v>
      </c>
      <c r="C8" s="34">
        <v>694802.0830002271</v>
      </c>
      <c r="D8" s="34">
        <v>1937.5520000000251</v>
      </c>
      <c r="E8" s="34">
        <v>0</v>
      </c>
      <c r="F8" s="34">
        <v>159.09199999971315</v>
      </c>
      <c r="G8" s="34">
        <v>13367.356345542998</v>
      </c>
      <c r="H8" s="34">
        <v>0</v>
      </c>
      <c r="I8" s="123">
        <v>0</v>
      </c>
      <c r="J8" s="34">
        <f t="shared" si="0"/>
        <v>679338.0826546843</v>
      </c>
    </row>
    <row r="9" spans="1:10" s="66" customFormat="1" ht="12.75" customHeight="1">
      <c r="A9" s="77" t="s">
        <v>72</v>
      </c>
      <c r="B9" s="78"/>
      <c r="C9" s="35">
        <f aca="true" t="shared" si="1" ref="C9:I9">SUM(C4:C8)</f>
        <v>7502856.674376972</v>
      </c>
      <c r="D9" s="35">
        <f>SUM(D4:D8)</f>
        <v>5738.176512000567</v>
      </c>
      <c r="E9" s="35">
        <f>SUM(E4:E8)</f>
        <v>0</v>
      </c>
      <c r="F9" s="35">
        <f t="shared" si="1"/>
        <v>258984.95672801475</v>
      </c>
      <c r="G9" s="35">
        <f t="shared" si="1"/>
        <v>20223.59081234907</v>
      </c>
      <c r="H9" s="35">
        <f t="shared" si="1"/>
        <v>21575.724</v>
      </c>
      <c r="I9" s="35">
        <f t="shared" si="1"/>
        <v>-98924.98768294495</v>
      </c>
      <c r="J9" s="34">
        <f t="shared" si="0"/>
        <v>7295259.214007553</v>
      </c>
    </row>
    <row r="10" spans="1:10" ht="12.75" customHeight="1">
      <c r="A10" s="27" t="s">
        <v>14</v>
      </c>
      <c r="B10" s="73">
        <v>1351</v>
      </c>
      <c r="C10" s="34">
        <f>552724.414000042*0.359</f>
        <v>198428.06462601508</v>
      </c>
      <c r="D10" s="34">
        <f>4468.03200000024*0.359</f>
        <v>1604.0234880000862</v>
      </c>
      <c r="E10" s="34">
        <v>0</v>
      </c>
      <c r="F10" s="34">
        <f>10.6859999999869*0.359</f>
        <v>3.8362739999952966</v>
      </c>
      <c r="G10" s="34">
        <f>3647.97878751386*0.359</f>
        <v>1309.6243847174758</v>
      </c>
      <c r="H10" s="34">
        <v>0</v>
      </c>
      <c r="I10" s="123">
        <v>0</v>
      </c>
      <c r="J10" s="34">
        <f t="shared" si="0"/>
        <v>195510.58047929753</v>
      </c>
    </row>
    <row r="11" spans="1:10" ht="12.75" customHeight="1">
      <c r="A11" s="27" t="s">
        <v>15</v>
      </c>
      <c r="B11" s="73">
        <v>1501</v>
      </c>
      <c r="C11" s="34">
        <v>1631256.629000743</v>
      </c>
      <c r="D11" s="34">
        <v>2965.3160000022035</v>
      </c>
      <c r="E11" s="34">
        <v>0</v>
      </c>
      <c r="F11" s="34">
        <v>6551.521000003209</v>
      </c>
      <c r="G11" s="34">
        <v>-13931.607965426054</v>
      </c>
      <c r="H11" s="34">
        <v>0</v>
      </c>
      <c r="I11" s="123">
        <v>0</v>
      </c>
      <c r="J11" s="34">
        <f t="shared" si="0"/>
        <v>1635671.3999661636</v>
      </c>
    </row>
    <row r="12" spans="1:10" ht="12.75" customHeight="1">
      <c r="A12" s="27" t="s">
        <v>16</v>
      </c>
      <c r="B12" s="73">
        <v>1502</v>
      </c>
      <c r="C12" s="34">
        <v>1180307.2560004545</v>
      </c>
      <c r="D12" s="34">
        <v>0</v>
      </c>
      <c r="E12" s="34">
        <v>0</v>
      </c>
      <c r="F12" s="34">
        <v>1491.852000001818</v>
      </c>
      <c r="G12" s="34">
        <v>1068.4479974544374</v>
      </c>
      <c r="H12" s="34">
        <v>0</v>
      </c>
      <c r="I12" s="123">
        <v>0</v>
      </c>
      <c r="J12" s="34">
        <f t="shared" si="0"/>
        <v>1177746.9560029982</v>
      </c>
    </row>
    <row r="13" spans="1:10" ht="12.75" customHeight="1">
      <c r="A13" s="27" t="s">
        <v>17</v>
      </c>
      <c r="B13" s="73">
        <v>1516</v>
      </c>
      <c r="C13" s="34">
        <v>1838707.3940007067</v>
      </c>
      <c r="D13" s="34">
        <v>0</v>
      </c>
      <c r="E13" s="34">
        <v>0</v>
      </c>
      <c r="F13" s="34">
        <v>126079.08799983677</v>
      </c>
      <c r="G13" s="34">
        <v>-247.67291440500412</v>
      </c>
      <c r="H13" s="34">
        <v>0</v>
      </c>
      <c r="I13" s="50">
        <v>-69829.119531994</v>
      </c>
      <c r="J13" s="34">
        <f t="shared" si="0"/>
        <v>1782705.098447269</v>
      </c>
    </row>
    <row r="14" spans="1:10" s="66" customFormat="1" ht="12.75" customHeight="1">
      <c r="A14" s="77" t="s">
        <v>67</v>
      </c>
      <c r="B14" s="78"/>
      <c r="C14" s="35">
        <f aca="true" t="shared" si="2" ref="C14:I14">SUM(C10:C13)</f>
        <v>4848699.3436279185</v>
      </c>
      <c r="D14" s="35">
        <f>SUM(D10:D13)</f>
        <v>4569.33948800229</v>
      </c>
      <c r="E14" s="35">
        <f>SUM(E10:E13)</f>
        <v>0</v>
      </c>
      <c r="F14" s="35">
        <f t="shared" si="2"/>
        <v>134126.2972738418</v>
      </c>
      <c r="G14" s="35">
        <f t="shared" si="2"/>
        <v>-11801.208497659145</v>
      </c>
      <c r="H14" s="35">
        <f t="shared" si="2"/>
        <v>0</v>
      </c>
      <c r="I14" s="35">
        <f t="shared" si="2"/>
        <v>-69829.119531994</v>
      </c>
      <c r="J14" s="34">
        <f t="shared" si="0"/>
        <v>4791634.034895727</v>
      </c>
    </row>
    <row r="15" spans="1:10" ht="12.75" customHeight="1">
      <c r="A15" s="7" t="s">
        <v>18</v>
      </c>
      <c r="B15" s="73">
        <v>2000</v>
      </c>
      <c r="C15" s="34">
        <v>2169249.7130007534</v>
      </c>
      <c r="D15" s="34">
        <v>0</v>
      </c>
      <c r="E15" s="34">
        <v>0</v>
      </c>
      <c r="F15" s="34">
        <v>52982.219999866094</v>
      </c>
      <c r="G15" s="34">
        <v>-41876.93098798068</v>
      </c>
      <c r="H15" s="34">
        <v>0</v>
      </c>
      <c r="I15" s="123">
        <v>0</v>
      </c>
      <c r="J15" s="34">
        <f t="shared" si="0"/>
        <v>2158144.423988868</v>
      </c>
    </row>
    <row r="16" spans="1:10" s="66" customFormat="1" ht="12.75" customHeight="1">
      <c r="A16" s="15" t="s">
        <v>68</v>
      </c>
      <c r="B16" s="78"/>
      <c r="C16" s="35">
        <f aca="true" t="shared" si="3" ref="C16:I16">SUM(C15)</f>
        <v>2169249.7130007534</v>
      </c>
      <c r="D16" s="35">
        <f>SUM(D15)</f>
        <v>0</v>
      </c>
      <c r="E16" s="35">
        <f>SUM(E15)</f>
        <v>0</v>
      </c>
      <c r="F16" s="35">
        <f t="shared" si="3"/>
        <v>52982.219999866094</v>
      </c>
      <c r="G16" s="35">
        <f t="shared" si="3"/>
        <v>-41876.93098798068</v>
      </c>
      <c r="H16" s="35">
        <f t="shared" si="3"/>
        <v>0</v>
      </c>
      <c r="I16" s="35">
        <f t="shared" si="3"/>
        <v>0</v>
      </c>
      <c r="J16" s="34">
        <f t="shared" si="0"/>
        <v>2158144.423988868</v>
      </c>
    </row>
    <row r="17" spans="1:10" ht="12.75" customHeight="1">
      <c r="A17" s="27" t="s">
        <v>19</v>
      </c>
      <c r="B17" s="73">
        <v>2501</v>
      </c>
      <c r="C17" s="34">
        <v>1080537.914000655</v>
      </c>
      <c r="D17" s="34">
        <v>2316.2459999999264</v>
      </c>
      <c r="E17" s="34">
        <v>0</v>
      </c>
      <c r="F17" s="34">
        <v>43856.16500001727</v>
      </c>
      <c r="G17" s="34">
        <v>-7789.771541739581</v>
      </c>
      <c r="H17" s="34">
        <v>0</v>
      </c>
      <c r="I17" s="123">
        <v>0</v>
      </c>
      <c r="J17" s="34">
        <f t="shared" si="0"/>
        <v>1042155.2745423776</v>
      </c>
    </row>
    <row r="18" spans="1:10" ht="12.75" customHeight="1">
      <c r="A18" s="27" t="s">
        <v>20</v>
      </c>
      <c r="B18" s="73">
        <v>2502</v>
      </c>
      <c r="C18" s="34">
        <v>664297.8990002491</v>
      </c>
      <c r="D18" s="34">
        <v>2179.3439999996917</v>
      </c>
      <c r="E18" s="34">
        <v>0</v>
      </c>
      <c r="F18" s="34">
        <v>1276.6760000024224</v>
      </c>
      <c r="G18" s="34">
        <v>-2256.5510245849146</v>
      </c>
      <c r="H18" s="34">
        <v>0</v>
      </c>
      <c r="I18" s="123">
        <v>0</v>
      </c>
      <c r="J18" s="34">
        <f t="shared" si="0"/>
        <v>663098.4300248319</v>
      </c>
    </row>
    <row r="19" spans="1:10" s="66" customFormat="1" ht="12.75" customHeight="1">
      <c r="A19" s="77" t="s">
        <v>69</v>
      </c>
      <c r="B19" s="78"/>
      <c r="C19" s="35">
        <f aca="true" t="shared" si="4" ref="C19:I19">SUM(C17:C18)</f>
        <v>1744835.8130009042</v>
      </c>
      <c r="D19" s="35">
        <f>SUM(D17:D18)</f>
        <v>4495.589999999618</v>
      </c>
      <c r="E19" s="35">
        <f>SUM(E17:E18)</f>
        <v>0</v>
      </c>
      <c r="F19" s="35">
        <f t="shared" si="4"/>
        <v>45132.84100001969</v>
      </c>
      <c r="G19" s="35">
        <f t="shared" si="4"/>
        <v>-10046.322566324496</v>
      </c>
      <c r="H19" s="35">
        <f t="shared" si="4"/>
        <v>0</v>
      </c>
      <c r="I19" s="35">
        <f t="shared" si="4"/>
        <v>0</v>
      </c>
      <c r="J19" s="34">
        <f t="shared" si="0"/>
        <v>1705253.7045672094</v>
      </c>
    </row>
    <row r="20" spans="1:10" ht="12.75" customHeight="1">
      <c r="A20" s="27" t="s">
        <v>21</v>
      </c>
      <c r="B20" s="73">
        <v>3000</v>
      </c>
      <c r="C20" s="34">
        <v>1767554.9900007714</v>
      </c>
      <c r="D20" s="34">
        <v>4834.2320000012405</v>
      </c>
      <c r="E20" s="34">
        <v>0</v>
      </c>
      <c r="F20" s="34">
        <v>3214.761999987997</v>
      </c>
      <c r="G20" s="34">
        <v>-34175.03424117225</v>
      </c>
      <c r="H20" s="34">
        <v>0</v>
      </c>
      <c r="I20" s="123">
        <v>0</v>
      </c>
      <c r="J20" s="34">
        <f t="shared" si="0"/>
        <v>1793681.0302419544</v>
      </c>
    </row>
    <row r="21" spans="1:10" s="66" customFormat="1" ht="12.75" customHeight="1">
      <c r="A21" s="77" t="s">
        <v>70</v>
      </c>
      <c r="B21" s="78"/>
      <c r="C21" s="35">
        <f aca="true" t="shared" si="5" ref="C21:I21">SUM(C20)</f>
        <v>1767554.9900007714</v>
      </c>
      <c r="D21" s="35">
        <f>SUM(D20)</f>
        <v>4834.2320000012405</v>
      </c>
      <c r="E21" s="35">
        <f>SUM(E20)</f>
        <v>0</v>
      </c>
      <c r="F21" s="35">
        <f t="shared" si="5"/>
        <v>3214.761999987997</v>
      </c>
      <c r="G21" s="35">
        <f t="shared" si="5"/>
        <v>-34175.03424117225</v>
      </c>
      <c r="H21" s="35">
        <f t="shared" si="5"/>
        <v>0</v>
      </c>
      <c r="I21" s="35">
        <f t="shared" si="5"/>
        <v>0</v>
      </c>
      <c r="J21" s="34">
        <f t="shared" si="0"/>
        <v>1793681.0302419544</v>
      </c>
    </row>
    <row r="22" spans="1:10" ht="12.75" customHeight="1">
      <c r="A22" s="27" t="s">
        <v>22</v>
      </c>
      <c r="B22" s="73">
        <v>3500</v>
      </c>
      <c r="C22" s="34">
        <v>1678888.8950006207</v>
      </c>
      <c r="D22" s="34">
        <v>0</v>
      </c>
      <c r="E22" s="34">
        <v>0</v>
      </c>
      <c r="F22" s="34">
        <v>57343.3069999679</v>
      </c>
      <c r="G22" s="34">
        <v>-32791.822908962145</v>
      </c>
      <c r="H22" s="34">
        <v>0</v>
      </c>
      <c r="I22" s="123">
        <v>0</v>
      </c>
      <c r="J22" s="34">
        <f t="shared" si="0"/>
        <v>1654337.410909615</v>
      </c>
    </row>
    <row r="23" spans="1:10" s="66" customFormat="1" ht="12.75" customHeight="1">
      <c r="A23" s="77" t="s">
        <v>71</v>
      </c>
      <c r="B23" s="78"/>
      <c r="C23" s="35">
        <f aca="true" t="shared" si="6" ref="C23:I23">SUM(C22)</f>
        <v>1678888.8950006207</v>
      </c>
      <c r="D23" s="35">
        <f>SUM(D22)</f>
        <v>0</v>
      </c>
      <c r="E23" s="35">
        <f>SUM(E22)</f>
        <v>0</v>
      </c>
      <c r="F23" s="35">
        <f t="shared" si="6"/>
        <v>57343.3069999679</v>
      </c>
      <c r="G23" s="35">
        <f t="shared" si="6"/>
        <v>-32791.822908962145</v>
      </c>
      <c r="H23" s="35">
        <f t="shared" si="6"/>
        <v>0</v>
      </c>
      <c r="I23" s="35">
        <f t="shared" si="6"/>
        <v>0</v>
      </c>
      <c r="J23" s="34">
        <f t="shared" si="0"/>
        <v>1654337.410909615</v>
      </c>
    </row>
    <row r="24" spans="1:10" ht="12.75" customHeight="1">
      <c r="A24" s="27" t="s">
        <v>23</v>
      </c>
      <c r="B24" s="73">
        <v>4001</v>
      </c>
      <c r="C24" s="34">
        <v>242572.465999992</v>
      </c>
      <c r="D24" s="34">
        <v>0</v>
      </c>
      <c r="E24" s="34">
        <v>0</v>
      </c>
      <c r="F24" s="34">
        <v>4398.758000001748</v>
      </c>
      <c r="G24" s="34">
        <v>-4417.044981149462</v>
      </c>
      <c r="H24" s="34">
        <v>0</v>
      </c>
      <c r="I24" s="123">
        <v>0</v>
      </c>
      <c r="J24" s="34">
        <f t="shared" si="0"/>
        <v>242590.75298113973</v>
      </c>
    </row>
    <row r="25" spans="1:10" s="66" customFormat="1" ht="12.75" customHeight="1">
      <c r="A25" s="77" t="s">
        <v>73</v>
      </c>
      <c r="B25" s="78"/>
      <c r="C25" s="35">
        <f aca="true" t="shared" si="7" ref="C25:I25">SUM(C24)</f>
        <v>242572.465999992</v>
      </c>
      <c r="D25" s="35">
        <f>SUM(D24)</f>
        <v>0</v>
      </c>
      <c r="E25" s="35">
        <f>SUM(E24)</f>
        <v>0</v>
      </c>
      <c r="F25" s="35">
        <f t="shared" si="7"/>
        <v>4398.758000001748</v>
      </c>
      <c r="G25" s="35">
        <f t="shared" si="7"/>
        <v>-4417.044981149462</v>
      </c>
      <c r="H25" s="35">
        <f t="shared" si="7"/>
        <v>0</v>
      </c>
      <c r="I25" s="35">
        <f t="shared" si="7"/>
        <v>0</v>
      </c>
      <c r="J25" s="34">
        <f t="shared" si="0"/>
        <v>242590.75298113973</v>
      </c>
    </row>
    <row r="26" spans="1:10" ht="12.75" customHeight="1">
      <c r="A26" s="27" t="s">
        <v>24</v>
      </c>
      <c r="B26" s="73">
        <v>4202</v>
      </c>
      <c r="C26" s="34">
        <v>3365649.6770028677</v>
      </c>
      <c r="D26" s="34">
        <v>6851.527999999002</v>
      </c>
      <c r="E26" s="34">
        <v>0</v>
      </c>
      <c r="F26" s="124">
        <v>69683.5020006178</v>
      </c>
      <c r="G26" s="34">
        <v>-42716.453797046095</v>
      </c>
      <c r="H26" s="34">
        <v>0</v>
      </c>
      <c r="I26" s="50">
        <v>23126.99880445667</v>
      </c>
      <c r="J26" s="34">
        <f t="shared" si="0"/>
        <v>3308704.1019948404</v>
      </c>
    </row>
    <row r="27" spans="1:10" ht="12.75" customHeight="1">
      <c r="A27" s="27" t="s">
        <v>25</v>
      </c>
      <c r="B27" s="73">
        <v>4212</v>
      </c>
      <c r="C27" s="34">
        <v>1002949.7890002932</v>
      </c>
      <c r="D27" s="34">
        <v>4344.723999999231</v>
      </c>
      <c r="E27" s="34">
        <v>0</v>
      </c>
      <c r="F27" s="124">
        <v>0</v>
      </c>
      <c r="G27" s="34">
        <v>11345.65333981195</v>
      </c>
      <c r="H27" s="34">
        <v>0</v>
      </c>
      <c r="I27" s="123">
        <v>0</v>
      </c>
      <c r="J27" s="34">
        <f t="shared" si="0"/>
        <v>987259.4116604821</v>
      </c>
    </row>
    <row r="28" spans="1:10" s="66" customFormat="1" ht="12.75" customHeight="1">
      <c r="A28" s="77" t="s">
        <v>74</v>
      </c>
      <c r="B28" s="78"/>
      <c r="C28" s="35">
        <f aca="true" t="shared" si="8" ref="C28:I28">SUM(C26:C27)</f>
        <v>4368599.466003161</v>
      </c>
      <c r="D28" s="35">
        <f>SUM(D26:D27)</f>
        <v>11196.251999998232</v>
      </c>
      <c r="E28" s="35">
        <f>SUM(E26:E27)</f>
        <v>0</v>
      </c>
      <c r="F28" s="35">
        <f t="shared" si="8"/>
        <v>69683.5020006178</v>
      </c>
      <c r="G28" s="35">
        <f t="shared" si="8"/>
        <v>-31370.800457234145</v>
      </c>
      <c r="H28" s="35">
        <f t="shared" si="8"/>
        <v>0</v>
      </c>
      <c r="I28" s="35">
        <f t="shared" si="8"/>
        <v>23126.99880445667</v>
      </c>
      <c r="J28" s="34">
        <f t="shared" si="0"/>
        <v>4295963.513655323</v>
      </c>
    </row>
    <row r="29" spans="1:10" ht="12.75" customHeight="1">
      <c r="A29" s="27" t="s">
        <v>26</v>
      </c>
      <c r="B29" s="73">
        <v>5001</v>
      </c>
      <c r="C29" s="34">
        <v>725490.2450001652</v>
      </c>
      <c r="D29" s="34">
        <v>0</v>
      </c>
      <c r="E29" s="34">
        <v>0</v>
      </c>
      <c r="F29" s="34">
        <v>14822.10199998715</v>
      </c>
      <c r="G29" s="34">
        <v>1021.9176096114097</v>
      </c>
      <c r="H29" s="34">
        <v>1630.764</v>
      </c>
      <c r="I29" s="123">
        <v>0</v>
      </c>
      <c r="J29" s="34">
        <f t="shared" si="0"/>
        <v>708015.4613905667</v>
      </c>
    </row>
    <row r="30" spans="1:10" ht="12.75" customHeight="1">
      <c r="A30" s="27" t="s">
        <v>27</v>
      </c>
      <c r="B30" s="73">
        <v>5002</v>
      </c>
      <c r="C30" s="34">
        <v>319654.70599998825</v>
      </c>
      <c r="D30" s="34">
        <v>0</v>
      </c>
      <c r="E30" s="34">
        <v>0</v>
      </c>
      <c r="F30" s="34">
        <v>11013.29999999929</v>
      </c>
      <c r="G30" s="34">
        <v>4852.95638868399</v>
      </c>
      <c r="H30" s="34">
        <v>0</v>
      </c>
      <c r="I30" s="123">
        <v>0</v>
      </c>
      <c r="J30" s="34">
        <f t="shared" si="0"/>
        <v>303788.44961130497</v>
      </c>
    </row>
    <row r="31" spans="1:10" ht="12.75" customHeight="1">
      <c r="A31" s="27" t="s">
        <v>28</v>
      </c>
      <c r="B31" s="73">
        <v>5003</v>
      </c>
      <c r="C31" s="34">
        <v>59922.95500000178</v>
      </c>
      <c r="D31" s="34">
        <v>0</v>
      </c>
      <c r="E31" s="34">
        <v>0</v>
      </c>
      <c r="F31" s="34">
        <v>0</v>
      </c>
      <c r="G31" s="34">
        <v>3737.4413321741777</v>
      </c>
      <c r="H31" s="34">
        <v>0</v>
      </c>
      <c r="I31" s="123">
        <v>0</v>
      </c>
      <c r="J31" s="34">
        <f t="shared" si="0"/>
        <v>56185.5136678276</v>
      </c>
    </row>
    <row r="32" spans="1:10" ht="12.75" customHeight="1">
      <c r="A32" s="27" t="s">
        <v>29</v>
      </c>
      <c r="B32" s="73">
        <v>5004</v>
      </c>
      <c r="C32" s="34">
        <v>390397.4169999731</v>
      </c>
      <c r="D32" s="34">
        <v>2926.1320000000414</v>
      </c>
      <c r="E32" s="34">
        <v>0</v>
      </c>
      <c r="F32" s="34">
        <v>0</v>
      </c>
      <c r="G32" s="34">
        <v>7470.327138859226</v>
      </c>
      <c r="H32" s="34">
        <v>0</v>
      </c>
      <c r="I32" s="123">
        <v>0</v>
      </c>
      <c r="J32" s="34">
        <f t="shared" si="0"/>
        <v>380000.9578611138</v>
      </c>
    </row>
    <row r="33" spans="1:10" s="66" customFormat="1" ht="12.75" customHeight="1">
      <c r="A33" s="77" t="s">
        <v>75</v>
      </c>
      <c r="B33" s="78"/>
      <c r="C33" s="35">
        <f aca="true" t="shared" si="9" ref="C33:I33">SUM(C29:C32)</f>
        <v>1495465.3230001284</v>
      </c>
      <c r="D33" s="35">
        <f>SUM(D29:D32)</f>
        <v>2926.1320000000414</v>
      </c>
      <c r="E33" s="35">
        <f>SUM(E29:E32)</f>
        <v>0</v>
      </c>
      <c r="F33" s="35">
        <f t="shared" si="9"/>
        <v>25835.40199998644</v>
      </c>
      <c r="G33" s="35">
        <f t="shared" si="9"/>
        <v>17082.642469328803</v>
      </c>
      <c r="H33" s="35">
        <f t="shared" si="9"/>
        <v>1630.764</v>
      </c>
      <c r="I33" s="35">
        <f t="shared" si="9"/>
        <v>0</v>
      </c>
      <c r="J33" s="34">
        <f t="shared" si="0"/>
        <v>1447990.382530813</v>
      </c>
    </row>
    <row r="34" spans="1:10" ht="12.75" customHeight="1">
      <c r="A34" s="27" t="s">
        <v>30</v>
      </c>
      <c r="B34" s="73">
        <v>5501</v>
      </c>
      <c r="C34" s="34">
        <v>1435472.8430004483</v>
      </c>
      <c r="D34" s="34">
        <v>3169.0240000002086</v>
      </c>
      <c r="E34" s="34">
        <v>0</v>
      </c>
      <c r="F34" s="34">
        <v>20439.95800002897</v>
      </c>
      <c r="G34" s="34">
        <v>-25934.87660286564</v>
      </c>
      <c r="H34" s="34">
        <v>0</v>
      </c>
      <c r="I34" s="123">
        <v>0</v>
      </c>
      <c r="J34" s="34">
        <f t="shared" si="0"/>
        <v>1437798.737603285</v>
      </c>
    </row>
    <row r="35" spans="1:10" s="66" customFormat="1" ht="12.75" customHeight="1">
      <c r="A35" s="77" t="s">
        <v>76</v>
      </c>
      <c r="B35" s="78"/>
      <c r="C35" s="35">
        <f aca="true" t="shared" si="10" ref="C35:I35">SUM(C34)</f>
        <v>1435472.8430004483</v>
      </c>
      <c r="D35" s="35">
        <f>SUM(D34)</f>
        <v>3169.0240000002086</v>
      </c>
      <c r="E35" s="35">
        <f>SUM(E34)</f>
        <v>0</v>
      </c>
      <c r="F35" s="35">
        <f t="shared" si="10"/>
        <v>20439.95800002897</v>
      </c>
      <c r="G35" s="35">
        <f t="shared" si="10"/>
        <v>-25934.87660286564</v>
      </c>
      <c r="H35" s="35">
        <f t="shared" si="10"/>
        <v>0</v>
      </c>
      <c r="I35" s="35">
        <f t="shared" si="10"/>
        <v>0</v>
      </c>
      <c r="J35" s="34">
        <f t="shared" si="0"/>
        <v>1437798.737603285</v>
      </c>
    </row>
    <row r="36" spans="1:10" ht="12.75" customHeight="1">
      <c r="A36" s="27" t="s">
        <v>31</v>
      </c>
      <c r="B36" s="73">
        <v>6002</v>
      </c>
      <c r="C36" s="34">
        <v>88618.44299999712</v>
      </c>
      <c r="D36" s="34">
        <v>0</v>
      </c>
      <c r="E36" s="34">
        <v>0</v>
      </c>
      <c r="F36" s="34">
        <v>0</v>
      </c>
      <c r="G36" s="34">
        <v>5893.862153715701</v>
      </c>
      <c r="H36" s="34">
        <v>0</v>
      </c>
      <c r="I36" s="123">
        <v>0</v>
      </c>
      <c r="J36" s="34">
        <f t="shared" si="0"/>
        <v>82724.58084628142</v>
      </c>
    </row>
    <row r="37" spans="1:10" ht="12.75" customHeight="1">
      <c r="A37" s="27" t="s">
        <v>32</v>
      </c>
      <c r="B37" s="73">
        <v>6004</v>
      </c>
      <c r="C37" s="34">
        <v>154016.16599999327</v>
      </c>
      <c r="D37" s="34">
        <v>0</v>
      </c>
      <c r="E37" s="34">
        <v>0</v>
      </c>
      <c r="F37" s="34">
        <v>3.562000000005355</v>
      </c>
      <c r="G37" s="34">
        <v>4334.800960536464</v>
      </c>
      <c r="H37" s="34">
        <v>6444.192</v>
      </c>
      <c r="I37" s="123">
        <v>0</v>
      </c>
      <c r="J37" s="34">
        <f t="shared" si="0"/>
        <v>143233.6110394568</v>
      </c>
    </row>
    <row r="38" spans="1:10" ht="12.75" customHeight="1">
      <c r="A38" s="27" t="s">
        <v>33</v>
      </c>
      <c r="B38" s="73">
        <v>6006</v>
      </c>
      <c r="C38" s="34">
        <v>527466.3220001423</v>
      </c>
      <c r="D38" s="34">
        <v>2242.055999999866</v>
      </c>
      <c r="E38" s="34">
        <v>0</v>
      </c>
      <c r="F38" s="34">
        <v>410.80500000109896</v>
      </c>
      <c r="G38" s="34">
        <v>3349.7435161638423</v>
      </c>
      <c r="H38" s="34">
        <v>0</v>
      </c>
      <c r="I38" s="123">
        <v>0</v>
      </c>
      <c r="J38" s="34">
        <f t="shared" si="0"/>
        <v>521463.7174839775</v>
      </c>
    </row>
    <row r="39" spans="1:10" ht="12.75" customHeight="1">
      <c r="A39" s="27" t="s">
        <v>34</v>
      </c>
      <c r="B39" s="73">
        <v>6007</v>
      </c>
      <c r="C39" s="34">
        <v>1032114.903000399</v>
      </c>
      <c r="D39" s="34">
        <v>3047.832000000635</v>
      </c>
      <c r="E39" s="34">
        <v>0</v>
      </c>
      <c r="F39" s="34">
        <v>883.8239999979269</v>
      </c>
      <c r="G39" s="34">
        <v>2231.7693714278284</v>
      </c>
      <c r="H39" s="34">
        <v>2860.617</v>
      </c>
      <c r="I39" s="123">
        <v>0</v>
      </c>
      <c r="J39" s="34">
        <f t="shared" si="0"/>
        <v>1023090.8606289726</v>
      </c>
    </row>
    <row r="40" spans="1:10" ht="12.75" customHeight="1">
      <c r="A40" s="27" t="s">
        <v>35</v>
      </c>
      <c r="B40" s="73">
        <v>6008</v>
      </c>
      <c r="C40" s="34">
        <v>1069945.120000343</v>
      </c>
      <c r="D40" s="34">
        <v>0</v>
      </c>
      <c r="E40" s="34">
        <v>0</v>
      </c>
      <c r="F40" s="34">
        <v>95803.86099981004</v>
      </c>
      <c r="G40" s="34">
        <v>6040.119257732353</v>
      </c>
      <c r="H40" s="34">
        <v>0</v>
      </c>
      <c r="I40" s="50">
        <v>57694.21043368628</v>
      </c>
      <c r="J40" s="34">
        <f t="shared" si="0"/>
        <v>910406.9293091145</v>
      </c>
    </row>
    <row r="41" spans="1:10" ht="12.75" customHeight="1">
      <c r="A41" s="27" t="s">
        <v>36</v>
      </c>
      <c r="B41" s="73">
        <v>6014</v>
      </c>
      <c r="C41" s="34">
        <v>57800.86799999491</v>
      </c>
      <c r="D41" s="34">
        <v>0</v>
      </c>
      <c r="E41" s="34">
        <v>0</v>
      </c>
      <c r="F41" s="34">
        <v>0</v>
      </c>
      <c r="G41" s="34">
        <v>-47.35588560029714</v>
      </c>
      <c r="H41" s="34">
        <v>0</v>
      </c>
      <c r="I41" s="123">
        <v>0</v>
      </c>
      <c r="J41" s="34">
        <f t="shared" si="0"/>
        <v>57848.22388559521</v>
      </c>
    </row>
    <row r="42" spans="1:10" s="66" customFormat="1" ht="12.75" customHeight="1">
      <c r="A42" s="77" t="s">
        <v>77</v>
      </c>
      <c r="B42" s="78"/>
      <c r="C42" s="35">
        <f aca="true" t="shared" si="11" ref="C42:I42">SUM(C36:C41)</f>
        <v>2929961.8220008695</v>
      </c>
      <c r="D42" s="35">
        <f>SUM(D36:D41)</f>
        <v>5289.888000000501</v>
      </c>
      <c r="E42" s="35">
        <f>SUM(E36:E41)</f>
        <v>0</v>
      </c>
      <c r="F42" s="35">
        <f t="shared" si="11"/>
        <v>97102.05199980907</v>
      </c>
      <c r="G42" s="35">
        <f t="shared" si="11"/>
        <v>21802.939373975893</v>
      </c>
      <c r="H42" s="35">
        <f t="shared" si="11"/>
        <v>9304.809000000001</v>
      </c>
      <c r="I42" s="35">
        <f t="shared" si="11"/>
        <v>57694.21043368628</v>
      </c>
      <c r="J42" s="34">
        <f t="shared" si="0"/>
        <v>2738767.923193398</v>
      </c>
    </row>
    <row r="43" spans="1:10" ht="12.75" customHeight="1">
      <c r="A43" s="27" t="s">
        <v>37</v>
      </c>
      <c r="B43" s="73">
        <v>6501</v>
      </c>
      <c r="C43" s="34">
        <v>766010.752000159</v>
      </c>
      <c r="D43" s="34">
        <v>2507.9679999997024</v>
      </c>
      <c r="E43" s="34">
        <v>0</v>
      </c>
      <c r="F43" s="34">
        <v>12627.001999990316</v>
      </c>
      <c r="G43" s="34">
        <v>1007.553464842611</v>
      </c>
      <c r="H43" s="34">
        <v>0</v>
      </c>
      <c r="I43" s="123">
        <v>0</v>
      </c>
      <c r="J43" s="34">
        <f t="shared" si="0"/>
        <v>749868.2285353263</v>
      </c>
    </row>
    <row r="44" spans="1:10" ht="12.75" customHeight="1">
      <c r="A44" s="27" t="s">
        <v>38</v>
      </c>
      <c r="B44" s="73">
        <v>6502</v>
      </c>
      <c r="C44" s="34">
        <v>695861.7580001088</v>
      </c>
      <c r="D44" s="34">
        <v>2975.471999999834</v>
      </c>
      <c r="E44" s="34">
        <v>0</v>
      </c>
      <c r="F44" s="34">
        <v>22109.76600002381</v>
      </c>
      <c r="G44" s="34">
        <v>816.5832559746341</v>
      </c>
      <c r="H44" s="36">
        <v>0</v>
      </c>
      <c r="I44" s="123">
        <v>0</v>
      </c>
      <c r="J44" s="34">
        <f t="shared" si="0"/>
        <v>669959.9367441104</v>
      </c>
    </row>
    <row r="45" spans="1:10" ht="12.75" customHeight="1">
      <c r="A45" s="27" t="s">
        <v>39</v>
      </c>
      <c r="B45" s="73">
        <v>6503</v>
      </c>
      <c r="C45" s="34">
        <v>33401.73200000091</v>
      </c>
      <c r="D45" s="34">
        <v>0</v>
      </c>
      <c r="E45" s="34">
        <v>0</v>
      </c>
      <c r="F45" s="34">
        <v>0</v>
      </c>
      <c r="G45" s="34">
        <v>2998.806491530042</v>
      </c>
      <c r="H45" s="34">
        <v>0</v>
      </c>
      <c r="I45" s="123">
        <v>0</v>
      </c>
      <c r="J45" s="34">
        <f t="shared" si="0"/>
        <v>30402.92550847087</v>
      </c>
    </row>
    <row r="46" spans="1:10" ht="12.75" customHeight="1">
      <c r="A46" s="27" t="s">
        <v>40</v>
      </c>
      <c r="B46" s="73">
        <v>6504</v>
      </c>
      <c r="C46" s="34">
        <v>96917.05399999938</v>
      </c>
      <c r="D46" s="34">
        <v>0</v>
      </c>
      <c r="E46" s="34">
        <v>0</v>
      </c>
      <c r="F46" s="34">
        <v>0</v>
      </c>
      <c r="G46" s="34">
        <v>4040.240981747047</v>
      </c>
      <c r="H46" s="34">
        <v>0</v>
      </c>
      <c r="I46" s="123">
        <v>0</v>
      </c>
      <c r="J46" s="34">
        <f t="shared" si="0"/>
        <v>92876.81301825233</v>
      </c>
    </row>
    <row r="47" spans="1:10" ht="12.75" customHeight="1">
      <c r="A47" s="27" t="s">
        <v>41</v>
      </c>
      <c r="B47" s="73">
        <v>6505</v>
      </c>
      <c r="C47" s="34">
        <v>34838.508000001115</v>
      </c>
      <c r="D47" s="34">
        <v>0</v>
      </c>
      <c r="E47" s="34">
        <v>0</v>
      </c>
      <c r="F47" s="34">
        <v>14.247999999999593</v>
      </c>
      <c r="G47" s="34">
        <v>3106.391107164498</v>
      </c>
      <c r="H47" s="34">
        <v>0</v>
      </c>
      <c r="I47" s="123">
        <v>0</v>
      </c>
      <c r="J47" s="34">
        <f t="shared" si="0"/>
        <v>31717.868892836617</v>
      </c>
    </row>
    <row r="48" spans="1:10" s="66" customFormat="1" ht="12.75" customHeight="1">
      <c r="A48" s="77" t="s">
        <v>78</v>
      </c>
      <c r="B48" s="78"/>
      <c r="C48" s="35">
        <f aca="true" t="shared" si="12" ref="C48:I48">SUM(C43:C47)</f>
        <v>1627029.8040002692</v>
      </c>
      <c r="D48" s="35">
        <f>SUM(D43:D47)</f>
        <v>5483.439999999537</v>
      </c>
      <c r="E48" s="35">
        <f>SUM(E43:E47)</f>
        <v>0</v>
      </c>
      <c r="F48" s="35">
        <f t="shared" si="12"/>
        <v>34751.016000014126</v>
      </c>
      <c r="G48" s="35">
        <f t="shared" si="12"/>
        <v>11969.575301258832</v>
      </c>
      <c r="H48" s="35">
        <f t="shared" si="12"/>
        <v>0</v>
      </c>
      <c r="I48" s="35">
        <f t="shared" si="12"/>
        <v>0</v>
      </c>
      <c r="J48" s="34">
        <f t="shared" si="0"/>
        <v>1574825.7726989968</v>
      </c>
    </row>
    <row r="49" spans="1:10" ht="12.75" customHeight="1">
      <c r="A49" s="27" t="s">
        <v>42</v>
      </c>
      <c r="B49" s="73">
        <v>7002</v>
      </c>
      <c r="C49" s="34">
        <v>553695.2650001136</v>
      </c>
      <c r="D49" s="34">
        <v>0</v>
      </c>
      <c r="E49" s="34">
        <v>-5483.824382839523</v>
      </c>
      <c r="F49" s="34">
        <v>79.11799999990035</v>
      </c>
      <c r="G49" s="34">
        <v>11318.066022713843</v>
      </c>
      <c r="H49" s="34">
        <v>0</v>
      </c>
      <c r="I49" s="123">
        <v>0</v>
      </c>
      <c r="J49" s="34">
        <f t="shared" si="0"/>
        <v>547781.9053602393</v>
      </c>
    </row>
    <row r="50" spans="1:10" ht="12.75" customHeight="1">
      <c r="A50" s="27" t="s">
        <v>43</v>
      </c>
      <c r="B50" s="73">
        <v>7003</v>
      </c>
      <c r="C50" s="34">
        <v>2806687.185999643</v>
      </c>
      <c r="D50" s="34">
        <v>622.9719999998342</v>
      </c>
      <c r="E50" s="34">
        <v>-8336.430205554349</v>
      </c>
      <c r="F50" s="34">
        <v>109683.06300080707</v>
      </c>
      <c r="G50" s="34">
        <v>52658.66552311368</v>
      </c>
      <c r="H50" s="34">
        <v>15790.555</v>
      </c>
      <c r="I50" s="50">
        <v>41716.10717679057</v>
      </c>
      <c r="J50" s="34">
        <f t="shared" si="0"/>
        <v>2594552.253504486</v>
      </c>
    </row>
    <row r="51" spans="1:10" ht="12.75" customHeight="1">
      <c r="A51" s="27" t="s">
        <v>44</v>
      </c>
      <c r="B51" s="73">
        <v>7005</v>
      </c>
      <c r="C51" s="34">
        <v>944650.3130003992</v>
      </c>
      <c r="D51" s="34">
        <v>3238.1680000008782</v>
      </c>
      <c r="E51" s="34">
        <v>-12496.8835427695</v>
      </c>
      <c r="F51" s="34">
        <v>0</v>
      </c>
      <c r="G51" s="34">
        <v>29092.947378091747</v>
      </c>
      <c r="H51" s="34">
        <v>0</v>
      </c>
      <c r="I51" s="123">
        <v>0</v>
      </c>
      <c r="J51" s="34">
        <f t="shared" si="0"/>
        <v>924816.081165076</v>
      </c>
    </row>
    <row r="52" spans="1:10" ht="12.75" customHeight="1">
      <c r="A52" s="27" t="s">
        <v>45</v>
      </c>
      <c r="B52" s="73">
        <v>7026</v>
      </c>
      <c r="C52" s="34">
        <v>1569049.6500006109</v>
      </c>
      <c r="D52" s="34">
        <v>107.22799999988638</v>
      </c>
      <c r="E52" s="34">
        <v>-3253.1440907815145</v>
      </c>
      <c r="F52" s="34">
        <v>6965.285999963526</v>
      </c>
      <c r="G52" s="34">
        <v>5817.368558180053</v>
      </c>
      <c r="H52" s="34">
        <v>82116</v>
      </c>
      <c r="I52" s="123">
        <v>0</v>
      </c>
      <c r="J52" s="34">
        <f t="shared" si="0"/>
        <v>1477296.9115332488</v>
      </c>
    </row>
    <row r="53" spans="1:10" s="66" customFormat="1" ht="12.75" customHeight="1">
      <c r="A53" s="77" t="s">
        <v>79</v>
      </c>
      <c r="B53" s="78"/>
      <c r="C53" s="35">
        <f aca="true" t="shared" si="13" ref="C53:I53">SUM(C49:C52)</f>
        <v>5874082.414000766</v>
      </c>
      <c r="D53" s="35">
        <f>SUM(D49:D52)</f>
        <v>3968.368000000599</v>
      </c>
      <c r="E53" s="35">
        <f>SUM(E49:E52)</f>
        <v>-29570.28222194489</v>
      </c>
      <c r="F53" s="35">
        <f t="shared" si="13"/>
        <v>116727.4670007705</v>
      </c>
      <c r="G53" s="35">
        <f t="shared" si="13"/>
        <v>98887.04748209933</v>
      </c>
      <c r="H53" s="35">
        <f t="shared" si="13"/>
        <v>97906.555</v>
      </c>
      <c r="I53" s="35">
        <f t="shared" si="13"/>
        <v>41716.10717679057</v>
      </c>
      <c r="J53" s="34">
        <f t="shared" si="0"/>
        <v>5544447.15156305</v>
      </c>
    </row>
    <row r="54" spans="1:10" ht="12.75" customHeight="1">
      <c r="A54" s="27" t="s">
        <v>46</v>
      </c>
      <c r="B54" s="73">
        <v>7601</v>
      </c>
      <c r="C54" s="34">
        <v>1225027.219000326</v>
      </c>
      <c r="D54" s="34">
        <v>0</v>
      </c>
      <c r="E54" s="34">
        <v>0</v>
      </c>
      <c r="F54" s="34">
        <v>23256.416999997105</v>
      </c>
      <c r="G54" s="34">
        <v>-20480.185921200085</v>
      </c>
      <c r="H54" s="34">
        <v>0</v>
      </c>
      <c r="I54" s="123">
        <v>0</v>
      </c>
      <c r="J54" s="34">
        <f t="shared" si="0"/>
        <v>1222250.987921529</v>
      </c>
    </row>
    <row r="55" spans="1:10" ht="12.75" customHeight="1">
      <c r="A55" s="27" t="s">
        <v>47</v>
      </c>
      <c r="B55" s="73">
        <v>7603</v>
      </c>
      <c r="C55" s="34">
        <v>310800.98899999016</v>
      </c>
      <c r="D55" s="34">
        <v>1117.8120000000636</v>
      </c>
      <c r="E55" s="34">
        <v>0</v>
      </c>
      <c r="F55" s="34">
        <v>0</v>
      </c>
      <c r="G55" s="34">
        <v>324.79990468887263</v>
      </c>
      <c r="H55" s="34">
        <v>0</v>
      </c>
      <c r="I55" s="123">
        <v>0</v>
      </c>
      <c r="J55" s="34">
        <f t="shared" si="0"/>
        <v>309358.3770953013</v>
      </c>
    </row>
    <row r="56" spans="1:10" s="66" customFormat="1" ht="12.75" customHeight="1">
      <c r="A56" s="77" t="s">
        <v>80</v>
      </c>
      <c r="B56" s="78"/>
      <c r="C56" s="35">
        <f aca="true" t="shared" si="14" ref="C56:I56">SUM(C54:C55)</f>
        <v>1535828.2080003163</v>
      </c>
      <c r="D56" s="35">
        <f>SUM(D54:D55)</f>
        <v>1117.8120000000636</v>
      </c>
      <c r="E56" s="35">
        <f>SUM(E54:E55)</f>
        <v>0</v>
      </c>
      <c r="F56" s="35">
        <f t="shared" si="14"/>
        <v>23256.416999997105</v>
      </c>
      <c r="G56" s="35">
        <f t="shared" si="14"/>
        <v>-20155.386016511213</v>
      </c>
      <c r="H56" s="35">
        <f t="shared" si="14"/>
        <v>0</v>
      </c>
      <c r="I56" s="35">
        <f t="shared" si="14"/>
        <v>0</v>
      </c>
      <c r="J56" s="34">
        <f t="shared" si="0"/>
        <v>1531609.3650168302</v>
      </c>
    </row>
    <row r="57" spans="1:10" ht="12.75" customHeight="1">
      <c r="A57" s="27" t="s">
        <v>48</v>
      </c>
      <c r="B57" s="73">
        <v>8001</v>
      </c>
      <c r="C57" s="34">
        <v>2243770.5219996963</v>
      </c>
      <c r="D57" s="34">
        <v>0</v>
      </c>
      <c r="E57" s="34">
        <v>0</v>
      </c>
      <c r="F57" s="34">
        <v>63927.009999699425</v>
      </c>
      <c r="G57" s="34">
        <v>-2569.8099289592355</v>
      </c>
      <c r="H57" s="34">
        <v>0</v>
      </c>
      <c r="I57" s="50">
        <v>46216.7908000054</v>
      </c>
      <c r="J57" s="34">
        <f t="shared" si="0"/>
        <v>2136196.531128951</v>
      </c>
    </row>
    <row r="58" spans="1:10" ht="12.75" customHeight="1">
      <c r="A58" s="27" t="s">
        <v>49</v>
      </c>
      <c r="B58" s="73">
        <v>8003</v>
      </c>
      <c r="C58" s="34">
        <v>687498.0570000138</v>
      </c>
      <c r="D58" s="34">
        <v>0</v>
      </c>
      <c r="E58" s="34">
        <v>0</v>
      </c>
      <c r="F58" s="34">
        <v>10807.48999999906</v>
      </c>
      <c r="G58" s="34">
        <v>21818.16417420708</v>
      </c>
      <c r="H58" s="34">
        <v>0</v>
      </c>
      <c r="I58" s="123">
        <v>0</v>
      </c>
      <c r="J58" s="34">
        <f t="shared" si="0"/>
        <v>654872.4028258077</v>
      </c>
    </row>
    <row r="59" spans="1:10" ht="12.75" customHeight="1">
      <c r="A59" s="30" t="s">
        <v>50</v>
      </c>
      <c r="B59" s="73">
        <v>8005</v>
      </c>
      <c r="C59" s="34">
        <v>170140.93400000158</v>
      </c>
      <c r="D59" s="34">
        <v>0</v>
      </c>
      <c r="E59" s="34">
        <v>0</v>
      </c>
      <c r="F59" s="34">
        <v>30.43000000002212</v>
      </c>
      <c r="G59" s="34">
        <v>16177.65145612901</v>
      </c>
      <c r="H59" s="34">
        <v>0</v>
      </c>
      <c r="I59" s="123">
        <v>0</v>
      </c>
      <c r="J59" s="34">
        <f t="shared" si="0"/>
        <v>153932.85254387255</v>
      </c>
    </row>
    <row r="60" spans="1:10" ht="12.75" customHeight="1">
      <c r="A60" s="30" t="s">
        <v>51</v>
      </c>
      <c r="B60" s="125">
        <v>8040</v>
      </c>
      <c r="C60" s="36">
        <v>505773.7560000495</v>
      </c>
      <c r="D60" s="36">
        <v>0</v>
      </c>
      <c r="E60" s="36">
        <v>0</v>
      </c>
      <c r="F60" s="36">
        <v>69.29300000006333</v>
      </c>
      <c r="G60" s="36">
        <v>7177.626119477267</v>
      </c>
      <c r="H60" s="36">
        <v>0</v>
      </c>
      <c r="I60" s="123">
        <v>0</v>
      </c>
      <c r="J60" s="34">
        <f t="shared" si="0"/>
        <v>498526.8368805722</v>
      </c>
    </row>
    <row r="61" spans="1:10" s="92" customFormat="1" ht="12.75" customHeight="1">
      <c r="A61" s="85" t="s">
        <v>81</v>
      </c>
      <c r="B61" s="86"/>
      <c r="C61" s="37">
        <f aca="true" t="shared" si="15" ref="C61:I61">SUM(C57:C60)</f>
        <v>3607183.2689997614</v>
      </c>
      <c r="D61" s="37">
        <f>SUM(D57:D60)</f>
        <v>0</v>
      </c>
      <c r="E61" s="37">
        <f>SUM(E57:E60)</f>
        <v>0</v>
      </c>
      <c r="F61" s="37">
        <f t="shared" si="15"/>
        <v>74834.22299969857</v>
      </c>
      <c r="G61" s="37">
        <f t="shared" si="15"/>
        <v>42603.63182085412</v>
      </c>
      <c r="H61" s="37">
        <f t="shared" si="15"/>
        <v>0</v>
      </c>
      <c r="I61" s="37">
        <f t="shared" si="15"/>
        <v>46216.7908000054</v>
      </c>
      <c r="J61" s="96">
        <f t="shared" si="0"/>
        <v>3443528.6233792035</v>
      </c>
    </row>
    <row r="62" spans="1:10" s="92" customFormat="1" ht="12.75" customHeight="1">
      <c r="A62" s="92" t="s">
        <v>52</v>
      </c>
      <c r="C62" s="40">
        <f aca="true" t="shared" si="16" ref="C62:I62">C9+C14+C16+C19+C21+C23+C25+C28+C33+C35+C42+C48+C53+C56+C61</f>
        <v>42828281.04401366</v>
      </c>
      <c r="D62" s="40">
        <f t="shared" si="16"/>
        <v>52788.2540000029</v>
      </c>
      <c r="E62" s="40">
        <f t="shared" si="16"/>
        <v>-29570.28222194489</v>
      </c>
      <c r="F62" s="40">
        <f t="shared" si="16"/>
        <v>1018813.1790026226</v>
      </c>
      <c r="G62" s="40">
        <f t="shared" si="16"/>
        <v>6.83940015733242E-09</v>
      </c>
      <c r="H62" s="40">
        <f t="shared" si="16"/>
        <v>130417.85199999998</v>
      </c>
      <c r="I62" s="40">
        <f t="shared" si="16"/>
        <v>0</v>
      </c>
      <c r="J62" s="34">
        <f t="shared" si="0"/>
        <v>41655832.04123297</v>
      </c>
    </row>
    <row r="63" ht="12.75" customHeight="1">
      <c r="B63" s="73"/>
    </row>
    <row r="64" spans="1:10" ht="12.75" customHeight="1">
      <c r="A64" s="121" t="s">
        <v>104</v>
      </c>
      <c r="B64" s="73"/>
      <c r="G64" s="36"/>
      <c r="H64" s="125"/>
      <c r="I64" s="125"/>
      <c r="J64" s="125"/>
    </row>
    <row r="65" ht="12.75">
      <c r="B65" s="73"/>
    </row>
    <row r="66" ht="12.75">
      <c r="B66" s="73"/>
    </row>
    <row r="67" spans="1:2" ht="12.75">
      <c r="A67" s="126" t="s">
        <v>120</v>
      </c>
      <c r="B67" s="73"/>
    </row>
    <row r="68" spans="1:10" ht="12" customHeight="1">
      <c r="A68" s="127" t="s">
        <v>115</v>
      </c>
      <c r="B68" s="73"/>
      <c r="C68" s="34">
        <f aca="true" t="shared" si="17" ref="C68:I68">SUM(C4:C8,C10:C13,C15,C24)</f>
        <v>14763378.197005639</v>
      </c>
      <c r="D68" s="34">
        <f t="shared" si="17"/>
        <v>10307.516000002855</v>
      </c>
      <c r="E68" s="34">
        <f t="shared" si="17"/>
        <v>0</v>
      </c>
      <c r="F68" s="34">
        <f t="shared" si="17"/>
        <v>450492.2320017244</v>
      </c>
      <c r="G68" s="34">
        <f t="shared" si="17"/>
        <v>-37871.59365444022</v>
      </c>
      <c r="H68" s="34">
        <f t="shared" si="17"/>
        <v>21575.724</v>
      </c>
      <c r="I68" s="34">
        <f t="shared" si="17"/>
        <v>-168754.10721493897</v>
      </c>
      <c r="J68" s="34">
        <f>C68-D68-E68-F68-G68-H68-I68</f>
        <v>14487628.425873293</v>
      </c>
    </row>
    <row r="69" spans="1:10" ht="12" customHeight="1">
      <c r="A69" s="127" t="s">
        <v>116</v>
      </c>
      <c r="C69" s="34">
        <f>SUM(C17:C18,C20,C22)</f>
        <v>5191279.6980022965</v>
      </c>
      <c r="D69" s="34">
        <f aca="true" t="shared" si="18" ref="D69:I69">SUM(D17:D18,D20,D22)</f>
        <v>9329.822000000859</v>
      </c>
      <c r="E69" s="34">
        <f t="shared" si="18"/>
        <v>0</v>
      </c>
      <c r="F69" s="34">
        <f t="shared" si="18"/>
        <v>105690.90999997559</v>
      </c>
      <c r="G69" s="34">
        <f>SUM(G17:G18,G20,G22)</f>
        <v>-77013.1797164589</v>
      </c>
      <c r="H69" s="34">
        <f>SUM(H17:H18,H20,H22)</f>
        <v>0</v>
      </c>
      <c r="I69" s="34">
        <f t="shared" si="18"/>
        <v>0</v>
      </c>
      <c r="J69" s="34">
        <f>C69-D69-E69-F69-G69-H69-I69</f>
        <v>5153272.1457187785</v>
      </c>
    </row>
    <row r="70" spans="1:10" ht="12" customHeight="1">
      <c r="A70" s="127" t="s">
        <v>117</v>
      </c>
      <c r="B70" s="73"/>
      <c r="C70" s="34">
        <f>SUM(C26:C27,C29:C32,C34,C37,C39:C41)</f>
        <v>9613414.68900447</v>
      </c>
      <c r="D70" s="34">
        <f aca="true" t="shared" si="19" ref="D70:I70">SUM(D26:D27,D29:D32,D34,D37,D39:D41)</f>
        <v>20339.239999999118</v>
      </c>
      <c r="E70" s="34">
        <f t="shared" si="19"/>
        <v>0</v>
      </c>
      <c r="F70" s="34">
        <f t="shared" si="19"/>
        <v>212650.10900044118</v>
      </c>
      <c r="G70" s="34">
        <f>SUM(G26:G27,G29:G32,G34,G37,G39:G41)</f>
        <v>-27663.700886674636</v>
      </c>
      <c r="H70" s="34">
        <f>SUM(H26:H27,H29:H32,H34,H37,H39:H41)</f>
        <v>10935.573</v>
      </c>
      <c r="I70" s="34">
        <f t="shared" si="19"/>
        <v>80821.20923814295</v>
      </c>
      <c r="J70" s="34">
        <f>C70-D70-E70-F70-G70-H70-I70</f>
        <v>9316332.25865256</v>
      </c>
    </row>
    <row r="71" spans="1:10" ht="12" customHeight="1">
      <c r="A71" s="127" t="s">
        <v>118</v>
      </c>
      <c r="B71" s="73"/>
      <c r="C71" s="34">
        <f>SUM(C36,C38,C43:C47,C49:C52,C54)</f>
        <v>9342224.202001503</v>
      </c>
      <c r="D71" s="34">
        <f aca="true" t="shared" si="20" ref="D71:I71">SUM(D36,D38,D43:D47,D49:D52,D54)</f>
        <v>11693.864000000001</v>
      </c>
      <c r="E71" s="34">
        <f t="shared" si="20"/>
        <v>-29570.28222194489</v>
      </c>
      <c r="F71" s="34">
        <f t="shared" si="20"/>
        <v>175145.70500078282</v>
      </c>
      <c r="G71" s="34">
        <f>SUM(G36,G38,G43:G47,G49:G52,G54)</f>
        <v>99620.04253203762</v>
      </c>
      <c r="H71" s="34">
        <f>SUM(H36,H38,H43:H47,H49:H52,H54)</f>
        <v>97906.555</v>
      </c>
      <c r="I71" s="34">
        <f t="shared" si="20"/>
        <v>41716.10717679057</v>
      </c>
      <c r="J71" s="34">
        <f>C71-D71-E71-F71-G71-H71-I71</f>
        <v>8945712.210513838</v>
      </c>
    </row>
    <row r="72" spans="1:10" ht="12" customHeight="1">
      <c r="A72" s="127" t="s">
        <v>119</v>
      </c>
      <c r="B72" s="73"/>
      <c r="C72" s="34">
        <f>SUM(C55,C57:C60)</f>
        <v>3917984.2579997513</v>
      </c>
      <c r="D72" s="34">
        <f aca="true" t="shared" si="21" ref="D72:I72">SUM(D55,D57:D60)</f>
        <v>1117.8120000000636</v>
      </c>
      <c r="E72" s="34">
        <f t="shared" si="21"/>
        <v>0</v>
      </c>
      <c r="F72" s="34">
        <f t="shared" si="21"/>
        <v>74834.22299969857</v>
      </c>
      <c r="G72" s="34">
        <f>SUM(G55,G57:G60)</f>
        <v>42928.43172554299</v>
      </c>
      <c r="H72" s="34">
        <f>SUM(H55,H57:H60)</f>
        <v>0</v>
      </c>
      <c r="I72" s="34">
        <f t="shared" si="21"/>
        <v>46216.7908000054</v>
      </c>
      <c r="J72" s="34">
        <f>C72-D72-E72-F72-G72-H72-I72</f>
        <v>3752887.0004745047</v>
      </c>
    </row>
    <row r="73" ht="12.75">
      <c r="B73" s="73"/>
    </row>
    <row r="74" ht="12.75">
      <c r="B74" s="73"/>
    </row>
    <row r="76" ht="12.75">
      <c r="B76" s="73"/>
    </row>
    <row r="78" ht="12.75">
      <c r="B78" s="73"/>
    </row>
    <row r="79" ht="12.75">
      <c r="B79" s="73"/>
    </row>
    <row r="80" ht="12.75">
      <c r="B80" s="73"/>
    </row>
    <row r="81" ht="12.75">
      <c r="B81" s="73"/>
    </row>
    <row r="83" ht="12.75">
      <c r="B83" s="73"/>
    </row>
    <row r="84" ht="12.75">
      <c r="B84" s="73"/>
    </row>
    <row r="85" ht="12.75">
      <c r="B85" s="73"/>
    </row>
    <row r="86" ht="12.75">
      <c r="B86" s="73"/>
    </row>
    <row r="87" ht="12.75">
      <c r="B87" s="73"/>
    </row>
    <row r="88" ht="12.75">
      <c r="B88" s="73"/>
    </row>
    <row r="89" ht="12.75">
      <c r="B89" s="73"/>
    </row>
    <row r="90" ht="12.75">
      <c r="B90" s="73"/>
    </row>
    <row r="91" ht="12.75">
      <c r="B91" s="73"/>
    </row>
    <row r="92" ht="12.75">
      <c r="B92" s="73"/>
    </row>
    <row r="93" ht="12.75">
      <c r="B93" s="73"/>
    </row>
    <row r="94" ht="12.75">
      <c r="B94" s="73"/>
    </row>
    <row r="96" ht="12.75">
      <c r="B96" s="73"/>
    </row>
    <row r="97" ht="12.75">
      <c r="B97" s="73"/>
    </row>
    <row r="99" ht="12.75">
      <c r="B99" s="73"/>
    </row>
    <row r="100" ht="12.75">
      <c r="B100" s="73"/>
    </row>
    <row r="101" ht="12.75">
      <c r="B101" s="73"/>
    </row>
    <row r="102" ht="12.75">
      <c r="B102" s="73"/>
    </row>
    <row r="103" ht="12.75">
      <c r="B103" s="73"/>
    </row>
    <row r="105" ht="12.75">
      <c r="B105" s="73"/>
    </row>
    <row r="106" ht="12.75">
      <c r="B106" s="73"/>
    </row>
    <row r="107" ht="12.75">
      <c r="B107" s="73"/>
    </row>
    <row r="108" ht="12.75">
      <c r="B108" s="73"/>
    </row>
    <row r="110" ht="12.75">
      <c r="B110" s="73"/>
    </row>
    <row r="112" ht="12.75">
      <c r="B112" s="73"/>
    </row>
    <row r="113" ht="12.75">
      <c r="B113" s="73"/>
    </row>
    <row r="114" ht="12.75">
      <c r="B114" s="73"/>
    </row>
    <row r="115" ht="12.75">
      <c r="B115" s="73"/>
    </row>
    <row r="116" ht="12.75">
      <c r="B116" s="73"/>
    </row>
    <row r="117" ht="12.75">
      <c r="B117" s="73"/>
    </row>
    <row r="118" ht="12.75">
      <c r="B118" s="73"/>
    </row>
    <row r="119" ht="12.75">
      <c r="B119" s="73"/>
    </row>
    <row r="120" ht="12.75">
      <c r="B120" s="73"/>
    </row>
    <row r="121" ht="12.75">
      <c r="B121" s="73"/>
    </row>
    <row r="122" ht="12.75">
      <c r="B122" s="73"/>
    </row>
    <row r="124" ht="12.75">
      <c r="B124" s="73"/>
    </row>
    <row r="125" ht="12.75">
      <c r="B125" s="73"/>
    </row>
    <row r="127" ht="12.75">
      <c r="B127" s="73"/>
    </row>
    <row r="128" ht="12.75">
      <c r="B128" s="73"/>
    </row>
    <row r="129" ht="12.75">
      <c r="B129" s="73"/>
    </row>
    <row r="130" ht="12.75">
      <c r="B130" s="73"/>
    </row>
    <row r="132" ht="12.75">
      <c r="B132" s="73"/>
    </row>
    <row r="134" ht="12.75">
      <c r="B134" s="73"/>
    </row>
    <row r="135" ht="12.75">
      <c r="B135" s="73"/>
    </row>
    <row r="136" ht="12.75">
      <c r="B136" s="73"/>
    </row>
    <row r="137" ht="12.75">
      <c r="B137" s="73"/>
    </row>
    <row r="139" ht="12.75">
      <c r="B139" s="73"/>
    </row>
    <row r="140" ht="12.75">
      <c r="B140" s="73"/>
    </row>
    <row r="141" ht="12.75">
      <c r="B141" s="73"/>
    </row>
    <row r="142" ht="12.75">
      <c r="B142" s="73"/>
    </row>
    <row r="143" ht="12.75">
      <c r="B143" s="73"/>
    </row>
    <row r="144" ht="12.75">
      <c r="B144" s="73"/>
    </row>
    <row r="145" ht="12.75">
      <c r="B145" s="73"/>
    </row>
    <row r="146" ht="12.75">
      <c r="B146" s="73"/>
    </row>
    <row r="147" ht="12.75">
      <c r="B147" s="73"/>
    </row>
    <row r="148" ht="12.75">
      <c r="B148" s="73"/>
    </row>
    <row r="150" ht="12.75">
      <c r="B150" s="73"/>
    </row>
    <row r="151" ht="12.75">
      <c r="B151" s="73"/>
    </row>
    <row r="152" ht="12.75">
      <c r="B152" s="73"/>
    </row>
    <row r="153" ht="12.75">
      <c r="B153" s="73"/>
    </row>
    <row r="154" ht="12.75">
      <c r="B154" s="73"/>
    </row>
    <row r="156" ht="12.75">
      <c r="B156" s="73"/>
    </row>
    <row r="157" ht="12.75">
      <c r="B157" s="73"/>
    </row>
    <row r="158" ht="12.75">
      <c r="B158" s="73"/>
    </row>
    <row r="160" ht="12.75">
      <c r="B160" s="73"/>
    </row>
    <row r="162" ht="12.75">
      <c r="B162" s="73"/>
    </row>
    <row r="164" ht="12.75">
      <c r="B164" s="73"/>
    </row>
    <row r="165" ht="12.75">
      <c r="B165" s="73"/>
    </row>
    <row r="166" ht="12.75">
      <c r="B166" s="73"/>
    </row>
    <row r="167" ht="12.75">
      <c r="B167" s="73"/>
    </row>
    <row r="169" ht="12.75">
      <c r="B169" s="73"/>
    </row>
    <row r="170" ht="12.75">
      <c r="B170" s="73"/>
    </row>
    <row r="172" ht="12.75">
      <c r="B172" s="73"/>
    </row>
    <row r="174" ht="12.75">
      <c r="B174" s="73"/>
    </row>
  </sheetData>
  <sheetProtection/>
  <printOptions/>
  <pageMargins left="0.7874015748031497" right="0.7874015748031497" top="0.7874015748031497" bottom="0.7874015748031497" header="0" footer="0"/>
  <pageSetup horizontalDpi="600" verticalDpi="600" orientation="landscape" paperSize="9" r:id="rId1"/>
  <headerFooter alignWithMargins="0">
    <oddFooter>&amp;C&amp;P af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22"/>
  <sheetViews>
    <sheetView zoomScalePageLayoutView="0" workbookViewId="0" topLeftCell="A1">
      <selection activeCell="E74" sqref="E74"/>
    </sheetView>
  </sheetViews>
  <sheetFormatPr defaultColWidth="8.8515625" defaultRowHeight="12.75"/>
  <cols>
    <col min="1" max="1" width="22.28125" style="68" customWidth="1"/>
    <col min="2" max="2" width="8.7109375" style="68" customWidth="1"/>
    <col min="3" max="3" width="12.28125" style="34" customWidth="1"/>
    <col min="4" max="4" width="12.28125" style="69" customWidth="1"/>
    <col min="5" max="8" width="12.28125" style="34" customWidth="1"/>
    <col min="9" max="16384" width="8.8515625" style="68" customWidth="1"/>
  </cols>
  <sheetData>
    <row r="1" spans="1:8" s="66" customFormat="1" ht="12.75" customHeight="1">
      <c r="A1" s="120" t="s">
        <v>111</v>
      </c>
      <c r="B1" s="68"/>
      <c r="C1" s="34"/>
      <c r="D1" s="128"/>
      <c r="E1" s="34"/>
      <c r="F1" s="34"/>
      <c r="G1" s="34"/>
      <c r="H1" s="34"/>
    </row>
    <row r="2" spans="1:4" ht="12.75" customHeight="1">
      <c r="A2" s="121" t="s">
        <v>101</v>
      </c>
      <c r="D2" s="128"/>
    </row>
    <row r="3" spans="1:8" ht="72" customHeight="1">
      <c r="A3" s="71" t="s">
        <v>1</v>
      </c>
      <c r="B3" s="122" t="s">
        <v>66</v>
      </c>
      <c r="C3" s="122" t="s">
        <v>64</v>
      </c>
      <c r="D3" s="122" t="s">
        <v>102</v>
      </c>
      <c r="E3" s="122" t="s">
        <v>65</v>
      </c>
      <c r="F3" s="122" t="s">
        <v>96</v>
      </c>
      <c r="G3" s="122" t="s">
        <v>114</v>
      </c>
      <c r="H3" s="122" t="s">
        <v>62</v>
      </c>
    </row>
    <row r="4" spans="1:8" ht="12.75" customHeight="1">
      <c r="A4" s="27" t="s">
        <v>9</v>
      </c>
      <c r="B4" s="73">
        <v>1301</v>
      </c>
      <c r="C4" s="129">
        <v>4174388.7290029074</v>
      </c>
      <c r="D4" s="34">
        <v>58202.48599997442</v>
      </c>
      <c r="E4" s="34">
        <v>244729.53900245577</v>
      </c>
      <c r="F4" s="39">
        <v>-36359.442468828056</v>
      </c>
      <c r="G4" s="50">
        <v>-144353.06961938427</v>
      </c>
      <c r="H4" s="34">
        <f>C4-D4-E4-F4-G4</f>
        <v>4052169.2160886894</v>
      </c>
    </row>
    <row r="5" spans="1:8" ht="12.75" customHeight="1">
      <c r="A5" s="27" t="s">
        <v>10</v>
      </c>
      <c r="B5" s="73">
        <v>1309</v>
      </c>
      <c r="C5" s="129">
        <v>1194561.9660007062</v>
      </c>
      <c r="D5" s="34">
        <v>8376.312000001548</v>
      </c>
      <c r="E5" s="34">
        <v>32356.907000007108</v>
      </c>
      <c r="F5" s="36">
        <v>25494.1577183553</v>
      </c>
      <c r="G5" s="123">
        <v>0</v>
      </c>
      <c r="H5" s="34">
        <f aca="true" t="shared" si="0" ref="H5:H62">C5-D5-E5-F5-G5</f>
        <v>1128334.5892823422</v>
      </c>
    </row>
    <row r="6" spans="1:8" ht="12.75" customHeight="1">
      <c r="A6" s="27" t="s">
        <v>11</v>
      </c>
      <c r="B6" s="73">
        <v>1330</v>
      </c>
      <c r="C6" s="129">
        <v>1469597.6260009762</v>
      </c>
      <c r="D6" s="34">
        <v>7032.798000001116</v>
      </c>
      <c r="E6" s="34">
        <v>29951.86299987696</v>
      </c>
      <c r="F6" s="36">
        <v>4439.657865458517</v>
      </c>
      <c r="G6" s="123">
        <v>0</v>
      </c>
      <c r="H6" s="34">
        <f t="shared" si="0"/>
        <v>1428173.3071356397</v>
      </c>
    </row>
    <row r="7" spans="1:8" ht="12.75" customHeight="1">
      <c r="A7" s="27" t="s">
        <v>12</v>
      </c>
      <c r="B7" s="73">
        <v>1351</v>
      </c>
      <c r="C7" s="129">
        <f>585882.729000004*0.641</f>
        <v>375550.8292890026</v>
      </c>
      <c r="D7" s="34">
        <f>5138.73600000073*0.641</f>
        <v>3293.9297760004683</v>
      </c>
      <c r="E7" s="34">
        <v>0</v>
      </c>
      <c r="F7" s="36">
        <f>3599.82380791998*0.641</f>
        <v>2307.4870608767073</v>
      </c>
      <c r="G7" s="123">
        <v>0</v>
      </c>
      <c r="H7" s="34">
        <f t="shared" si="0"/>
        <v>369949.41245212546</v>
      </c>
    </row>
    <row r="8" spans="1:8" ht="12.75" customHeight="1">
      <c r="A8" s="27" t="s">
        <v>13</v>
      </c>
      <c r="B8" s="73">
        <v>1401</v>
      </c>
      <c r="C8" s="129">
        <v>716899.6330002461</v>
      </c>
      <c r="D8" s="34">
        <v>3414.5400000001537</v>
      </c>
      <c r="E8" s="34">
        <v>398.91199999977835</v>
      </c>
      <c r="F8" s="36">
        <v>11028.00851979584</v>
      </c>
      <c r="G8" s="123">
        <v>0</v>
      </c>
      <c r="H8" s="34">
        <f t="shared" si="0"/>
        <v>702058.1724804504</v>
      </c>
    </row>
    <row r="9" spans="1:8" s="66" customFormat="1" ht="12.75" customHeight="1">
      <c r="A9" s="77" t="s">
        <v>72</v>
      </c>
      <c r="B9" s="78"/>
      <c r="C9" s="130">
        <f>SUM(C4:C8)</f>
        <v>7930998.783293839</v>
      </c>
      <c r="D9" s="35">
        <f>SUM(D4:D8)</f>
        <v>80320.06577597771</v>
      </c>
      <c r="E9" s="35">
        <f>SUM(E4:E8)</f>
        <v>307437.2210023396</v>
      </c>
      <c r="F9" s="40">
        <f>SUM(F4:F8)</f>
        <v>6909.86869565831</v>
      </c>
      <c r="G9" s="40">
        <f>SUM(G4:G8)</f>
        <v>-144353.06961938427</v>
      </c>
      <c r="H9" s="34">
        <f t="shared" si="0"/>
        <v>7680684.697439248</v>
      </c>
    </row>
    <row r="10" spans="1:8" ht="12.75" customHeight="1">
      <c r="A10" s="27" t="s">
        <v>14</v>
      </c>
      <c r="B10" s="73">
        <v>1351</v>
      </c>
      <c r="C10" s="129">
        <f>585882.729000004*0.359</f>
        <v>210331.89971100143</v>
      </c>
      <c r="D10" s="34">
        <f>5138.73600000073*0.359</f>
        <v>1844.806224000262</v>
      </c>
      <c r="E10" s="34">
        <v>0</v>
      </c>
      <c r="F10" s="36">
        <f>3599.82380791998*0.359</f>
        <v>1292.3367470432727</v>
      </c>
      <c r="G10" s="123">
        <v>0</v>
      </c>
      <c r="H10" s="34">
        <f t="shared" si="0"/>
        <v>207194.7567399579</v>
      </c>
    </row>
    <row r="11" spans="1:8" ht="12.75" customHeight="1">
      <c r="A11" s="27" t="s">
        <v>15</v>
      </c>
      <c r="B11" s="73">
        <v>1501</v>
      </c>
      <c r="C11" s="129">
        <v>1689883.4700007273</v>
      </c>
      <c r="D11" s="34">
        <v>18022.18000000692</v>
      </c>
      <c r="E11" s="34">
        <v>9567.851999999257</v>
      </c>
      <c r="F11" s="36">
        <v>-14425.003290364519</v>
      </c>
      <c r="G11" s="123">
        <v>0</v>
      </c>
      <c r="H11" s="34">
        <f t="shared" si="0"/>
        <v>1676718.4412910857</v>
      </c>
    </row>
    <row r="12" spans="1:8" ht="12.75" customHeight="1">
      <c r="A12" s="27" t="s">
        <v>16</v>
      </c>
      <c r="B12" s="73">
        <v>1502</v>
      </c>
      <c r="C12" s="129">
        <v>1257994.3920004414</v>
      </c>
      <c r="D12" s="34">
        <v>6836.612000001129</v>
      </c>
      <c r="E12" s="34">
        <v>6408.259000003338</v>
      </c>
      <c r="F12" s="36">
        <v>781.2216921602376</v>
      </c>
      <c r="G12" s="123">
        <v>0</v>
      </c>
      <c r="H12" s="34">
        <f t="shared" si="0"/>
        <v>1243968.2993082767</v>
      </c>
    </row>
    <row r="13" spans="1:8" ht="12.75" customHeight="1">
      <c r="A13" s="27" t="s">
        <v>17</v>
      </c>
      <c r="B13" s="73">
        <v>1516</v>
      </c>
      <c r="C13" s="129">
        <v>1868707.7780007203</v>
      </c>
      <c r="D13" s="34">
        <v>5940.196000000695</v>
      </c>
      <c r="E13" s="34">
        <v>141800.5969997712</v>
      </c>
      <c r="F13" s="36">
        <v>-4632.217305099941</v>
      </c>
      <c r="G13" s="50">
        <v>-98228.08035075758</v>
      </c>
      <c r="H13" s="34">
        <f t="shared" si="0"/>
        <v>1823827.282656806</v>
      </c>
    </row>
    <row r="14" spans="1:8" s="66" customFormat="1" ht="12.75" customHeight="1">
      <c r="A14" s="77" t="s">
        <v>67</v>
      </c>
      <c r="B14" s="78"/>
      <c r="C14" s="130">
        <f>SUM(C10:C13)</f>
        <v>5026917.539712891</v>
      </c>
      <c r="D14" s="35">
        <f>SUM(D10:D13)</f>
        <v>32643.794224009005</v>
      </c>
      <c r="E14" s="35">
        <f>SUM(E10:E13)</f>
        <v>157776.7079997738</v>
      </c>
      <c r="F14" s="40">
        <f>SUM(F10:F13)</f>
        <v>-16983.66215626095</v>
      </c>
      <c r="G14" s="40">
        <f>SUM(G10:G13)</f>
        <v>-98228.08035075758</v>
      </c>
      <c r="H14" s="34">
        <f t="shared" si="0"/>
        <v>4951708.779996127</v>
      </c>
    </row>
    <row r="15" spans="1:8" ht="12.75" customHeight="1">
      <c r="A15" s="7" t="s">
        <v>18</v>
      </c>
      <c r="B15" s="73">
        <v>2000</v>
      </c>
      <c r="C15" s="129">
        <v>2275746.847000878</v>
      </c>
      <c r="D15" s="34">
        <v>2709.5600000033155</v>
      </c>
      <c r="E15" s="34">
        <v>61840.97499983292</v>
      </c>
      <c r="F15" s="36">
        <v>-43399.78273105505</v>
      </c>
      <c r="G15" s="123">
        <v>0</v>
      </c>
      <c r="H15" s="34">
        <f t="shared" si="0"/>
        <v>2254596.0947320964</v>
      </c>
    </row>
    <row r="16" spans="1:8" s="66" customFormat="1" ht="12.75" customHeight="1">
      <c r="A16" s="15" t="s">
        <v>68</v>
      </c>
      <c r="B16" s="78"/>
      <c r="C16" s="130">
        <f>SUM(C15)</f>
        <v>2275746.847000878</v>
      </c>
      <c r="D16" s="35">
        <f>SUM(D15)</f>
        <v>2709.5600000033155</v>
      </c>
      <c r="E16" s="35">
        <f>SUM(E15)</f>
        <v>61840.97499983292</v>
      </c>
      <c r="F16" s="40">
        <f>SUM(F15)</f>
        <v>-43399.78273105505</v>
      </c>
      <c r="G16" s="40">
        <f>SUM(G15)</f>
        <v>0</v>
      </c>
      <c r="H16" s="34">
        <f t="shared" si="0"/>
        <v>2254596.0947320964</v>
      </c>
    </row>
    <row r="17" spans="1:8" ht="12.75" customHeight="1">
      <c r="A17" s="27" t="s">
        <v>19</v>
      </c>
      <c r="B17" s="73">
        <v>2501</v>
      </c>
      <c r="C17" s="129">
        <v>1119634.3580006587</v>
      </c>
      <c r="D17" s="34">
        <v>739.848000000231</v>
      </c>
      <c r="E17" s="34">
        <v>51598.46700002882</v>
      </c>
      <c r="F17" s="36">
        <v>-4227.383344829548</v>
      </c>
      <c r="G17" s="123">
        <v>0</v>
      </c>
      <c r="H17" s="34">
        <f t="shared" si="0"/>
        <v>1071523.4263454592</v>
      </c>
    </row>
    <row r="18" spans="1:8" ht="12.75" customHeight="1">
      <c r="A18" s="27" t="s">
        <v>20</v>
      </c>
      <c r="B18" s="73">
        <v>2502</v>
      </c>
      <c r="C18" s="129">
        <v>725268.1020003385</v>
      </c>
      <c r="D18" s="34">
        <v>2038.8560000003781</v>
      </c>
      <c r="E18" s="34">
        <v>1023.0020000012591</v>
      </c>
      <c r="F18" s="36">
        <v>-760.9774604343693</v>
      </c>
      <c r="G18" s="123">
        <v>0</v>
      </c>
      <c r="H18" s="34">
        <f t="shared" si="0"/>
        <v>722967.2214607713</v>
      </c>
    </row>
    <row r="19" spans="1:8" s="66" customFormat="1" ht="12.75" customHeight="1">
      <c r="A19" s="77" t="s">
        <v>69</v>
      </c>
      <c r="B19" s="78"/>
      <c r="C19" s="130">
        <f>SUM(C17:C18)</f>
        <v>1844902.4600009972</v>
      </c>
      <c r="D19" s="35">
        <f>SUM(D17:D18)</f>
        <v>2778.704000000609</v>
      </c>
      <c r="E19" s="35">
        <f>SUM(E17:E18)</f>
        <v>52621.469000030076</v>
      </c>
      <c r="F19" s="40">
        <f>SUM(F17:F18)</f>
        <v>-4988.360805263917</v>
      </c>
      <c r="G19" s="40">
        <f>SUM(G17:G18)</f>
        <v>0</v>
      </c>
      <c r="H19" s="34">
        <f t="shared" si="0"/>
        <v>1794490.6478062305</v>
      </c>
    </row>
    <row r="20" spans="1:8" ht="12.75" customHeight="1">
      <c r="A20" s="27" t="s">
        <v>21</v>
      </c>
      <c r="B20" s="73">
        <v>3000</v>
      </c>
      <c r="C20" s="129">
        <v>1848506.6880006436</v>
      </c>
      <c r="D20" s="34">
        <v>20356.78000001493</v>
      </c>
      <c r="E20" s="34">
        <v>3679.761999981245</v>
      </c>
      <c r="F20" s="36">
        <v>-34887.44564182917</v>
      </c>
      <c r="G20" s="123">
        <v>0</v>
      </c>
      <c r="H20" s="34">
        <f t="shared" si="0"/>
        <v>1859357.5916424766</v>
      </c>
    </row>
    <row r="21" spans="1:8" s="66" customFormat="1" ht="12.75" customHeight="1">
      <c r="A21" s="77" t="s">
        <v>70</v>
      </c>
      <c r="B21" s="78"/>
      <c r="C21" s="130">
        <f>SUM(C20)</f>
        <v>1848506.6880006436</v>
      </c>
      <c r="D21" s="35">
        <f>SUM(D20)</f>
        <v>20356.78000001493</v>
      </c>
      <c r="E21" s="35">
        <f>SUM(E20)</f>
        <v>3679.761999981245</v>
      </c>
      <c r="F21" s="40">
        <f>SUM(F20)</f>
        <v>-34887.44564182917</v>
      </c>
      <c r="G21" s="40">
        <f>SUM(G20)</f>
        <v>0</v>
      </c>
      <c r="H21" s="34">
        <f t="shared" si="0"/>
        <v>1859357.5916424766</v>
      </c>
    </row>
    <row r="22" spans="1:8" ht="12.75" customHeight="1">
      <c r="A22" s="27" t="s">
        <v>22</v>
      </c>
      <c r="B22" s="73">
        <v>3500</v>
      </c>
      <c r="C22" s="129">
        <v>1830801.6860006398</v>
      </c>
      <c r="D22" s="34">
        <v>11584.520000006305</v>
      </c>
      <c r="E22" s="34">
        <v>84107.91999991052</v>
      </c>
      <c r="F22" s="36">
        <v>-33869.70088380505</v>
      </c>
      <c r="G22" s="123">
        <v>0</v>
      </c>
      <c r="H22" s="34">
        <f t="shared" si="0"/>
        <v>1768978.946884528</v>
      </c>
    </row>
    <row r="23" spans="1:8" s="66" customFormat="1" ht="12.75" customHeight="1">
      <c r="A23" s="77" t="s">
        <v>71</v>
      </c>
      <c r="B23" s="78"/>
      <c r="C23" s="130">
        <f>SUM(C22)</f>
        <v>1830801.6860006398</v>
      </c>
      <c r="D23" s="35">
        <f>SUM(D22)</f>
        <v>11584.520000006305</v>
      </c>
      <c r="E23" s="35">
        <f>SUM(E22)</f>
        <v>84107.91999991052</v>
      </c>
      <c r="F23" s="40">
        <f>SUM(F22)</f>
        <v>-33869.70088380505</v>
      </c>
      <c r="G23" s="40">
        <f>SUM(G22)</f>
        <v>0</v>
      </c>
      <c r="H23" s="34">
        <f t="shared" si="0"/>
        <v>1768978.946884528</v>
      </c>
    </row>
    <row r="24" spans="1:8" ht="12.75" customHeight="1">
      <c r="A24" s="27" t="s">
        <v>23</v>
      </c>
      <c r="B24" s="73">
        <v>4001</v>
      </c>
      <c r="C24" s="129">
        <v>258006.37799999028</v>
      </c>
      <c r="D24" s="34">
        <v>1521.5039999998407</v>
      </c>
      <c r="E24" s="34">
        <v>5870.1160000001255</v>
      </c>
      <c r="F24" s="36">
        <v>-4393.415673071286</v>
      </c>
      <c r="G24" s="123">
        <v>0</v>
      </c>
      <c r="H24" s="34">
        <f t="shared" si="0"/>
        <v>255008.1736730616</v>
      </c>
    </row>
    <row r="25" spans="1:8" s="66" customFormat="1" ht="12.75" customHeight="1">
      <c r="A25" s="77" t="s">
        <v>73</v>
      </c>
      <c r="B25" s="78"/>
      <c r="C25" s="130">
        <f>SUM(C24)</f>
        <v>258006.37799999028</v>
      </c>
      <c r="D25" s="35">
        <f>SUM(D24)</f>
        <v>1521.5039999998407</v>
      </c>
      <c r="E25" s="35">
        <f>SUM(E24)</f>
        <v>5870.1160000001255</v>
      </c>
      <c r="F25" s="40">
        <f>SUM(F24)</f>
        <v>-4393.415673071286</v>
      </c>
      <c r="G25" s="40">
        <f>SUM(G24)</f>
        <v>0</v>
      </c>
      <c r="H25" s="34">
        <f t="shared" si="0"/>
        <v>255008.1736730616</v>
      </c>
    </row>
    <row r="26" spans="1:8" ht="12.75" customHeight="1">
      <c r="A26" s="27" t="s">
        <v>24</v>
      </c>
      <c r="B26" s="73">
        <v>4202</v>
      </c>
      <c r="C26" s="129">
        <v>3622757.261003781</v>
      </c>
      <c r="D26" s="34">
        <v>18287.37199998321</v>
      </c>
      <c r="E26" s="124">
        <v>76619.54000073578</v>
      </c>
      <c r="F26" s="36">
        <v>-45318.138570903335</v>
      </c>
      <c r="G26" s="50">
        <v>42423.51341796617</v>
      </c>
      <c r="H26" s="34">
        <f t="shared" si="0"/>
        <v>3530744.9741559993</v>
      </c>
    </row>
    <row r="27" spans="1:8" ht="12.75" customHeight="1">
      <c r="A27" s="27" t="s">
        <v>25</v>
      </c>
      <c r="B27" s="73">
        <v>4212</v>
      </c>
      <c r="C27" s="129">
        <v>1016229.8180003215</v>
      </c>
      <c r="D27" s="34">
        <v>8406.356000000727</v>
      </c>
      <c r="E27" s="124">
        <v>6.6049999999813735</v>
      </c>
      <c r="F27" s="36">
        <v>13896.542709673988</v>
      </c>
      <c r="G27" s="123">
        <v>0</v>
      </c>
      <c r="H27" s="34">
        <f t="shared" si="0"/>
        <v>993920.3142906468</v>
      </c>
    </row>
    <row r="28" spans="1:8" s="66" customFormat="1" ht="12.75" customHeight="1">
      <c r="A28" s="77" t="s">
        <v>74</v>
      </c>
      <c r="B28" s="78"/>
      <c r="C28" s="130">
        <f>SUM(C26:C27)</f>
        <v>4638987.079004102</v>
      </c>
      <c r="D28" s="35">
        <f>SUM(D26:D27)</f>
        <v>26693.727999983937</v>
      </c>
      <c r="E28" s="35">
        <f>SUM(E26:E27)</f>
        <v>76626.14500073576</v>
      </c>
      <c r="F28" s="40">
        <f>SUM(F26:F27)</f>
        <v>-31421.595861229347</v>
      </c>
      <c r="G28" s="40">
        <f>SUM(G26:G27)</f>
        <v>42423.51341796617</v>
      </c>
      <c r="H28" s="34">
        <f t="shared" si="0"/>
        <v>4524665.288446646</v>
      </c>
    </row>
    <row r="29" spans="1:8" ht="12.75" customHeight="1">
      <c r="A29" s="27" t="s">
        <v>26</v>
      </c>
      <c r="B29" s="73">
        <v>5001</v>
      </c>
      <c r="C29" s="129">
        <v>744486.5130001954</v>
      </c>
      <c r="D29" s="34">
        <v>7907.791999999899</v>
      </c>
      <c r="E29" s="34">
        <v>27032.20099999616</v>
      </c>
      <c r="F29" s="36">
        <v>709.9995546449209</v>
      </c>
      <c r="G29" s="123">
        <v>0</v>
      </c>
      <c r="H29" s="34">
        <f t="shared" si="0"/>
        <v>708836.5204455544</v>
      </c>
    </row>
    <row r="30" spans="1:8" ht="12.75" customHeight="1">
      <c r="A30" s="27" t="s">
        <v>27</v>
      </c>
      <c r="B30" s="73">
        <v>5002</v>
      </c>
      <c r="C30" s="129">
        <v>327803.2979999975</v>
      </c>
      <c r="D30" s="34">
        <v>0</v>
      </c>
      <c r="E30" s="34">
        <v>14413.31900000514</v>
      </c>
      <c r="F30" s="36">
        <v>3959.5530458480935</v>
      </c>
      <c r="G30" s="123">
        <v>0</v>
      </c>
      <c r="H30" s="34">
        <f t="shared" si="0"/>
        <v>309430.4259541443</v>
      </c>
    </row>
    <row r="31" spans="1:8" ht="12.75" customHeight="1">
      <c r="A31" s="27" t="s">
        <v>28</v>
      </c>
      <c r="B31" s="73">
        <v>5003</v>
      </c>
      <c r="C31" s="129">
        <v>58120.77700000077</v>
      </c>
      <c r="D31" s="34">
        <v>0</v>
      </c>
      <c r="E31" s="34">
        <v>0</v>
      </c>
      <c r="F31" s="36">
        <v>3086.3051448828373</v>
      </c>
      <c r="G31" s="123">
        <v>0</v>
      </c>
      <c r="H31" s="34">
        <f t="shared" si="0"/>
        <v>55034.47185511794</v>
      </c>
    </row>
    <row r="32" spans="1:8" ht="12.75" customHeight="1">
      <c r="A32" s="27" t="s">
        <v>29</v>
      </c>
      <c r="B32" s="73">
        <v>5004</v>
      </c>
      <c r="C32" s="129">
        <v>406513.2689999644</v>
      </c>
      <c r="D32" s="34">
        <v>5886.031999998842</v>
      </c>
      <c r="E32" s="34">
        <v>0</v>
      </c>
      <c r="F32" s="36">
        <v>9416.000317308644</v>
      </c>
      <c r="G32" s="123">
        <v>0</v>
      </c>
      <c r="H32" s="34">
        <f t="shared" si="0"/>
        <v>391211.2366826569</v>
      </c>
    </row>
    <row r="33" spans="1:8" s="66" customFormat="1" ht="12.75" customHeight="1">
      <c r="A33" s="77" t="s">
        <v>75</v>
      </c>
      <c r="B33" s="78"/>
      <c r="C33" s="130">
        <f>SUM(C29:C32)</f>
        <v>1536923.8570001582</v>
      </c>
      <c r="D33" s="35">
        <f>SUM(D29:D32)</f>
        <v>13793.823999998742</v>
      </c>
      <c r="E33" s="35">
        <f>SUM(E29:E32)</f>
        <v>41445.5200000013</v>
      </c>
      <c r="F33" s="40">
        <f>SUM(F29:F32)</f>
        <v>17171.858062684496</v>
      </c>
      <c r="G33" s="40">
        <f>SUM(G29:G32)</f>
        <v>0</v>
      </c>
      <c r="H33" s="34">
        <f t="shared" si="0"/>
        <v>1464512.6549374736</v>
      </c>
    </row>
    <row r="34" spans="1:8" ht="12.75" customHeight="1">
      <c r="A34" s="27" t="s">
        <v>30</v>
      </c>
      <c r="B34" s="73">
        <v>5501</v>
      </c>
      <c r="C34" s="129">
        <v>1504860.2460004936</v>
      </c>
      <c r="D34" s="34">
        <v>8507.1520000007</v>
      </c>
      <c r="E34" s="34">
        <v>29718.589999995893</v>
      </c>
      <c r="F34" s="36">
        <v>-26766.79058855283</v>
      </c>
      <c r="G34" s="123">
        <v>0</v>
      </c>
      <c r="H34" s="34">
        <f t="shared" si="0"/>
        <v>1493401.2945890499</v>
      </c>
    </row>
    <row r="35" spans="1:8" s="66" customFormat="1" ht="12.75" customHeight="1">
      <c r="A35" s="77" t="s">
        <v>76</v>
      </c>
      <c r="B35" s="78"/>
      <c r="C35" s="130">
        <f>SUM(C34)</f>
        <v>1504860.2460004936</v>
      </c>
      <c r="D35" s="35">
        <f>SUM(D34)</f>
        <v>8507.1520000007</v>
      </c>
      <c r="E35" s="35">
        <f>SUM(E34)</f>
        <v>29718.589999995893</v>
      </c>
      <c r="F35" s="40">
        <f>SUM(F34)</f>
        <v>-26766.79058855283</v>
      </c>
      <c r="G35" s="40">
        <f>SUM(G34)</f>
        <v>0</v>
      </c>
      <c r="H35" s="34">
        <f t="shared" si="0"/>
        <v>1493401.2945890499</v>
      </c>
    </row>
    <row r="36" spans="1:8" ht="12.75" customHeight="1">
      <c r="A36" s="27" t="s">
        <v>31</v>
      </c>
      <c r="B36" s="73">
        <v>6002</v>
      </c>
      <c r="C36" s="129">
        <v>106055.15099999675</v>
      </c>
      <c r="D36" s="34">
        <v>0</v>
      </c>
      <c r="E36" s="34">
        <v>0</v>
      </c>
      <c r="F36" s="36">
        <v>6105.047810337477</v>
      </c>
      <c r="G36" s="123">
        <v>0</v>
      </c>
      <c r="H36" s="34">
        <f t="shared" si="0"/>
        <v>99950.10318965928</v>
      </c>
    </row>
    <row r="37" spans="1:8" ht="12.75" customHeight="1">
      <c r="A37" s="27" t="s">
        <v>32</v>
      </c>
      <c r="B37" s="73">
        <v>6004</v>
      </c>
      <c r="C37" s="129">
        <v>111525.2699999939</v>
      </c>
      <c r="D37" s="34">
        <v>0</v>
      </c>
      <c r="E37" s="34">
        <v>0</v>
      </c>
      <c r="F37" s="36">
        <v>3694.3868973623175</v>
      </c>
      <c r="G37" s="123">
        <v>0</v>
      </c>
      <c r="H37" s="34">
        <f t="shared" si="0"/>
        <v>107830.88310263159</v>
      </c>
    </row>
    <row r="38" spans="1:8" ht="12.75" customHeight="1">
      <c r="A38" s="27" t="s">
        <v>33</v>
      </c>
      <c r="B38" s="73">
        <v>6006</v>
      </c>
      <c r="C38" s="129">
        <v>576397.605000214</v>
      </c>
      <c r="D38" s="34">
        <v>6982.43200000003</v>
      </c>
      <c r="E38" s="34">
        <v>660.3310000008205</v>
      </c>
      <c r="F38" s="36">
        <v>7847.38896317617</v>
      </c>
      <c r="G38" s="123">
        <v>0</v>
      </c>
      <c r="H38" s="34">
        <f t="shared" si="0"/>
        <v>560907.4530370369</v>
      </c>
    </row>
    <row r="39" spans="1:8" ht="12.75" customHeight="1">
      <c r="A39" s="27" t="s">
        <v>34</v>
      </c>
      <c r="B39" s="73">
        <v>6007</v>
      </c>
      <c r="C39" s="129">
        <v>1050685.5740003984</v>
      </c>
      <c r="D39" s="34">
        <v>11035.368000001065</v>
      </c>
      <c r="E39" s="34">
        <v>2317.0039999994915</v>
      </c>
      <c r="F39" s="36">
        <v>594.0571154941572</v>
      </c>
      <c r="G39" s="123">
        <v>0</v>
      </c>
      <c r="H39" s="34">
        <f t="shared" si="0"/>
        <v>1036739.1448849037</v>
      </c>
    </row>
    <row r="40" spans="1:8" ht="12.75" customHeight="1">
      <c r="A40" s="27" t="s">
        <v>35</v>
      </c>
      <c r="B40" s="73">
        <v>6008</v>
      </c>
      <c r="C40" s="129">
        <v>1185405.8530001503</v>
      </c>
      <c r="D40" s="34">
        <v>10360.49600000144</v>
      </c>
      <c r="E40" s="34">
        <v>117597.38799966406</v>
      </c>
      <c r="F40" s="36">
        <v>7391.877137864358</v>
      </c>
      <c r="G40" s="50">
        <v>54537.56024575894</v>
      </c>
      <c r="H40" s="34">
        <f t="shared" si="0"/>
        <v>995518.5316168613</v>
      </c>
    </row>
    <row r="41" spans="1:8" ht="12.75" customHeight="1">
      <c r="A41" s="27" t="s">
        <v>36</v>
      </c>
      <c r="B41" s="73">
        <v>6014</v>
      </c>
      <c r="C41" s="129">
        <v>66409.528999993</v>
      </c>
      <c r="D41" s="34">
        <v>0</v>
      </c>
      <c r="E41" s="34">
        <v>0</v>
      </c>
      <c r="F41" s="36">
        <v>-122.29304692770938</v>
      </c>
      <c r="G41" s="123">
        <v>0</v>
      </c>
      <c r="H41" s="34">
        <f t="shared" si="0"/>
        <v>66531.8220469207</v>
      </c>
    </row>
    <row r="42" spans="1:8" s="66" customFormat="1" ht="12.75" customHeight="1">
      <c r="A42" s="77" t="s">
        <v>77</v>
      </c>
      <c r="B42" s="78"/>
      <c r="C42" s="130">
        <f>SUM(C36:C41)</f>
        <v>3096478.9820007463</v>
      </c>
      <c r="D42" s="35">
        <f>SUM(D36:D41)</f>
        <v>28378.296000002534</v>
      </c>
      <c r="E42" s="35">
        <f>SUM(E36:E41)</f>
        <v>120574.72299966437</v>
      </c>
      <c r="F42" s="40">
        <f>SUM(F36:F41)</f>
        <v>25510.46487730677</v>
      </c>
      <c r="G42" s="40">
        <f>SUM(G36:G41)</f>
        <v>54537.56024575894</v>
      </c>
      <c r="H42" s="34">
        <f t="shared" si="0"/>
        <v>2867477.9378780136</v>
      </c>
    </row>
    <row r="43" spans="1:8" ht="12.75" customHeight="1">
      <c r="A43" s="27" t="s">
        <v>37</v>
      </c>
      <c r="B43" s="73">
        <v>6501</v>
      </c>
      <c r="C43" s="129">
        <v>790626.5410001819</v>
      </c>
      <c r="D43" s="34">
        <v>8029.49200000125</v>
      </c>
      <c r="E43" s="34">
        <v>13384.17600000475</v>
      </c>
      <c r="F43" s="36">
        <v>3347.3280169929494</v>
      </c>
      <c r="G43" s="123">
        <v>0</v>
      </c>
      <c r="H43" s="34">
        <f t="shared" si="0"/>
        <v>765865.544983183</v>
      </c>
    </row>
    <row r="44" spans="1:8" ht="12.75" customHeight="1">
      <c r="A44" s="27" t="s">
        <v>38</v>
      </c>
      <c r="B44" s="73">
        <v>6502</v>
      </c>
      <c r="C44" s="129">
        <v>732398.1420001653</v>
      </c>
      <c r="D44" s="34">
        <v>9892.484000000637</v>
      </c>
      <c r="E44" s="34">
        <v>27180.020000032848</v>
      </c>
      <c r="F44" s="36">
        <v>3474.5815032995306</v>
      </c>
      <c r="G44" s="123">
        <v>0</v>
      </c>
      <c r="H44" s="34">
        <f t="shared" si="0"/>
        <v>691851.0564968323</v>
      </c>
    </row>
    <row r="45" spans="1:8" ht="12.75" customHeight="1">
      <c r="A45" s="27" t="s">
        <v>39</v>
      </c>
      <c r="B45" s="73">
        <v>6503</v>
      </c>
      <c r="C45" s="129">
        <v>21052.97500000097</v>
      </c>
      <c r="D45" s="34">
        <v>0</v>
      </c>
      <c r="E45" s="34">
        <v>0</v>
      </c>
      <c r="F45" s="36">
        <v>2645.12851634033</v>
      </c>
      <c r="G45" s="123">
        <v>0</v>
      </c>
      <c r="H45" s="34">
        <f t="shared" si="0"/>
        <v>18407.84648366064</v>
      </c>
    </row>
    <row r="46" spans="1:8" ht="12.75" customHeight="1">
      <c r="A46" s="27" t="s">
        <v>40</v>
      </c>
      <c r="B46" s="73">
        <v>6504</v>
      </c>
      <c r="C46" s="129">
        <v>99392.26699999941</v>
      </c>
      <c r="D46" s="34">
        <v>0</v>
      </c>
      <c r="E46" s="34">
        <v>0</v>
      </c>
      <c r="F46" s="36">
        <v>5432.801050295428</v>
      </c>
      <c r="G46" s="123">
        <v>0</v>
      </c>
      <c r="H46" s="34">
        <f t="shared" si="0"/>
        <v>93959.46594970398</v>
      </c>
    </row>
    <row r="47" spans="1:8" ht="12.75" customHeight="1">
      <c r="A47" s="27" t="s">
        <v>41</v>
      </c>
      <c r="B47" s="73">
        <v>6505</v>
      </c>
      <c r="C47" s="129">
        <v>28559.273000000125</v>
      </c>
      <c r="D47" s="34">
        <v>0</v>
      </c>
      <c r="E47" s="34">
        <v>0</v>
      </c>
      <c r="F47" s="36">
        <v>3697.726438685255</v>
      </c>
      <c r="G47" s="123">
        <v>0</v>
      </c>
      <c r="H47" s="34">
        <f t="shared" si="0"/>
        <v>24861.54656131487</v>
      </c>
    </row>
    <row r="48" spans="1:8" s="66" customFormat="1" ht="12.75" customHeight="1">
      <c r="A48" s="77" t="s">
        <v>78</v>
      </c>
      <c r="B48" s="78"/>
      <c r="C48" s="130">
        <f>SUM(C43:C47)</f>
        <v>1672029.1980003477</v>
      </c>
      <c r="D48" s="35">
        <f>SUM(D43:D47)</f>
        <v>17921.976000001887</v>
      </c>
      <c r="E48" s="35">
        <f>SUM(E43:E47)</f>
        <v>40564.1960000376</v>
      </c>
      <c r="F48" s="40">
        <f>SUM(F43:F47)</f>
        <v>18597.565525613492</v>
      </c>
      <c r="G48" s="40">
        <f>SUM(G43:G47)</f>
        <v>0</v>
      </c>
      <c r="H48" s="34">
        <f t="shared" si="0"/>
        <v>1594945.4604746948</v>
      </c>
    </row>
    <row r="49" spans="1:8" ht="12.75" customHeight="1">
      <c r="A49" s="27" t="s">
        <v>42</v>
      </c>
      <c r="B49" s="73">
        <v>7002</v>
      </c>
      <c r="C49" s="129">
        <v>613490.7580001599</v>
      </c>
      <c r="D49" s="34">
        <v>4795.048000000417</v>
      </c>
      <c r="E49" s="34">
        <v>2063.154000003473</v>
      </c>
      <c r="F49" s="36">
        <v>10253.451222231728</v>
      </c>
      <c r="G49" s="123">
        <v>0</v>
      </c>
      <c r="H49" s="34">
        <f t="shared" si="0"/>
        <v>596379.1047779243</v>
      </c>
    </row>
    <row r="50" spans="1:8" ht="12.75" customHeight="1">
      <c r="A50" s="27" t="s">
        <v>43</v>
      </c>
      <c r="B50" s="73">
        <v>7003</v>
      </c>
      <c r="C50" s="129">
        <v>3048912.0140023106</v>
      </c>
      <c r="D50" s="34">
        <v>18109.60400000075</v>
      </c>
      <c r="E50" s="34">
        <v>150335.72700206842</v>
      </c>
      <c r="F50" s="36">
        <v>68917.0465923294</v>
      </c>
      <c r="G50" s="50">
        <v>72595.5028314121</v>
      </c>
      <c r="H50" s="34">
        <f t="shared" si="0"/>
        <v>2738954.1335764998</v>
      </c>
    </row>
    <row r="51" spans="1:8" ht="12.75" customHeight="1">
      <c r="A51" s="27" t="s">
        <v>44</v>
      </c>
      <c r="B51" s="73">
        <v>7005</v>
      </c>
      <c r="C51" s="129">
        <v>985815.1810003626</v>
      </c>
      <c r="D51" s="34">
        <v>7648.820000001928</v>
      </c>
      <c r="E51" s="34">
        <v>3.646999999997206</v>
      </c>
      <c r="F51" s="36">
        <v>29617.61470461241</v>
      </c>
      <c r="G51" s="123">
        <v>0</v>
      </c>
      <c r="H51" s="34">
        <f t="shared" si="0"/>
        <v>948545.0992957483</v>
      </c>
    </row>
    <row r="52" spans="1:8" ht="12.75" customHeight="1">
      <c r="A52" s="27" t="s">
        <v>45</v>
      </c>
      <c r="B52" s="73">
        <v>7026</v>
      </c>
      <c r="C52" s="129">
        <v>1565099.6290004875</v>
      </c>
      <c r="D52" s="34">
        <v>27453.760000007693</v>
      </c>
      <c r="E52" s="34">
        <v>10548.272999961162</v>
      </c>
      <c r="F52" s="36">
        <v>8931.391101868358</v>
      </c>
      <c r="G52" s="123">
        <v>0</v>
      </c>
      <c r="H52" s="34">
        <f t="shared" si="0"/>
        <v>1518166.2048986503</v>
      </c>
    </row>
    <row r="53" spans="1:8" s="66" customFormat="1" ht="12.75" customHeight="1">
      <c r="A53" s="77" t="s">
        <v>79</v>
      </c>
      <c r="B53" s="78"/>
      <c r="C53" s="130">
        <f>SUM(C49:C52)</f>
        <v>6213317.582003321</v>
      </c>
      <c r="D53" s="35">
        <f>SUM(D49:D52)</f>
        <v>58007.23200001079</v>
      </c>
      <c r="E53" s="35">
        <f>SUM(E49:E52)</f>
        <v>162950.80100203305</v>
      </c>
      <c r="F53" s="40">
        <f>SUM(F49:F52)</f>
        <v>117719.50362104189</v>
      </c>
      <c r="G53" s="40">
        <f>SUM(G49:G52)</f>
        <v>72595.5028314121</v>
      </c>
      <c r="H53" s="34">
        <f t="shared" si="0"/>
        <v>5802044.542548822</v>
      </c>
    </row>
    <row r="54" spans="1:8" ht="12.75" customHeight="1">
      <c r="A54" s="27" t="s">
        <v>46</v>
      </c>
      <c r="B54" s="73">
        <v>7601</v>
      </c>
      <c r="C54" s="129">
        <v>1353963.7150003356</v>
      </c>
      <c r="D54" s="34">
        <v>11341.850000000559</v>
      </c>
      <c r="E54" s="34">
        <v>48106.65899999882</v>
      </c>
      <c r="F54" s="36">
        <v>-21957.796061169705</v>
      </c>
      <c r="G54" s="123">
        <v>0</v>
      </c>
      <c r="H54" s="34">
        <f t="shared" si="0"/>
        <v>1316473.0020615058</v>
      </c>
    </row>
    <row r="55" spans="1:8" ht="12.75" customHeight="1">
      <c r="A55" s="27" t="s">
        <v>47</v>
      </c>
      <c r="B55" s="73">
        <v>7603</v>
      </c>
      <c r="C55" s="129">
        <v>329421.9429999925</v>
      </c>
      <c r="D55" s="34">
        <v>3451.015999999887</v>
      </c>
      <c r="E55" s="34">
        <v>0</v>
      </c>
      <c r="F55" s="36">
        <v>332.85688594789826</v>
      </c>
      <c r="G55" s="123">
        <v>0</v>
      </c>
      <c r="H55" s="34">
        <f t="shared" si="0"/>
        <v>325638.0701140447</v>
      </c>
    </row>
    <row r="56" spans="1:8" s="66" customFormat="1" ht="12.75" customHeight="1">
      <c r="A56" s="77" t="s">
        <v>80</v>
      </c>
      <c r="B56" s="78"/>
      <c r="C56" s="130">
        <f>SUM(C54:C55)</f>
        <v>1683385.658000328</v>
      </c>
      <c r="D56" s="35">
        <f>SUM(D54:D55)</f>
        <v>14792.866000000446</v>
      </c>
      <c r="E56" s="35">
        <f>SUM(E54:E55)</f>
        <v>48106.65899999882</v>
      </c>
      <c r="F56" s="40">
        <f>SUM(F54:F55)</f>
        <v>-21624.939175221807</v>
      </c>
      <c r="G56" s="40">
        <f>SUM(G54:G55)</f>
        <v>0</v>
      </c>
      <c r="H56" s="34">
        <f t="shared" si="0"/>
        <v>1642111.0721755507</v>
      </c>
    </row>
    <row r="57" spans="1:8" ht="12.75" customHeight="1">
      <c r="A57" s="27" t="s">
        <v>48</v>
      </c>
      <c r="B57" s="73">
        <v>8001</v>
      </c>
      <c r="C57" s="129">
        <v>2415021.718999445</v>
      </c>
      <c r="D57" s="34">
        <v>9489.89200000139</v>
      </c>
      <c r="E57" s="34">
        <v>68841.44399971329</v>
      </c>
      <c r="F57" s="36">
        <v>-1593.365642645862</v>
      </c>
      <c r="G57" s="50">
        <v>73024.57347500457</v>
      </c>
      <c r="H57" s="34">
        <f t="shared" si="0"/>
        <v>2265259.1751673715</v>
      </c>
    </row>
    <row r="58" spans="1:8" ht="12.75" customHeight="1">
      <c r="A58" s="27" t="s">
        <v>49</v>
      </c>
      <c r="B58" s="73">
        <v>8003</v>
      </c>
      <c r="C58" s="129">
        <v>716072.4140000322</v>
      </c>
      <c r="D58" s="34">
        <v>626.1880000001984</v>
      </c>
      <c r="E58" s="34">
        <v>11918.71299999964</v>
      </c>
      <c r="F58" s="36">
        <v>17070.89794714225</v>
      </c>
      <c r="G58" s="123">
        <v>0</v>
      </c>
      <c r="H58" s="34">
        <f t="shared" si="0"/>
        <v>686456.6150528901</v>
      </c>
    </row>
    <row r="59" spans="1:8" ht="12.75" customHeight="1">
      <c r="A59" s="30" t="s">
        <v>50</v>
      </c>
      <c r="B59" s="73">
        <v>8005</v>
      </c>
      <c r="C59" s="129">
        <v>176224.2330000025</v>
      </c>
      <c r="D59" s="34">
        <v>0</v>
      </c>
      <c r="E59" s="34">
        <v>98.41400000001886</v>
      </c>
      <c r="F59" s="36">
        <v>13389.68402782781</v>
      </c>
      <c r="G59" s="123">
        <v>0</v>
      </c>
      <c r="H59" s="34">
        <f t="shared" si="0"/>
        <v>162736.13497217468</v>
      </c>
    </row>
    <row r="60" spans="1:8" ht="12.75" customHeight="1">
      <c r="A60" s="30" t="s">
        <v>51</v>
      </c>
      <c r="B60" s="125">
        <v>8040</v>
      </c>
      <c r="C60" s="131">
        <v>511177.73700004537</v>
      </c>
      <c r="D60" s="36">
        <v>853.5080000000889</v>
      </c>
      <c r="E60" s="36">
        <v>142.23300000006566</v>
      </c>
      <c r="F60" s="36">
        <v>3559.2164016561</v>
      </c>
      <c r="G60" s="123">
        <v>0</v>
      </c>
      <c r="H60" s="34">
        <f t="shared" si="0"/>
        <v>506622.7795983891</v>
      </c>
    </row>
    <row r="61" spans="1:8" s="94" customFormat="1" ht="12.75" customHeight="1">
      <c r="A61" s="85" t="s">
        <v>81</v>
      </c>
      <c r="B61" s="86"/>
      <c r="C61" s="132">
        <f>SUM(C57:C60)</f>
        <v>3818496.1029995247</v>
      </c>
      <c r="D61" s="37">
        <f>SUM(D57:D60)</f>
        <v>10969.588000001677</v>
      </c>
      <c r="E61" s="37">
        <f>SUM(E57:E60)</f>
        <v>81000.80399971301</v>
      </c>
      <c r="F61" s="37">
        <f>SUM(F57:F60)</f>
        <v>32426.4327339803</v>
      </c>
      <c r="G61" s="37">
        <f>SUM(G57:G60)</f>
        <v>73024.57347500457</v>
      </c>
      <c r="H61" s="96">
        <f t="shared" si="0"/>
        <v>3621074.7047908246</v>
      </c>
    </row>
    <row r="62" spans="1:8" s="66" customFormat="1" ht="12.75" customHeight="1">
      <c r="A62" s="66" t="s">
        <v>52</v>
      </c>
      <c r="C62" s="35">
        <f>C9+C14+C16+C19+C21+C23+C25+C28+C33+C35+C42+C48+C53+C56+C61</f>
        <v>45180359.0870189</v>
      </c>
      <c r="D62" s="35">
        <f>D9+D14+D16+D19+D21+D23+D25+D28+D33+D35+D42+D48+D53+D56+D61</f>
        <v>330979.5900000124</v>
      </c>
      <c r="E62" s="35">
        <f>E9+E14+E16+E19+E21+E23+E25+E28+E33+E35+E42+E48+E53+E56+E61</f>
        <v>1274321.6090040482</v>
      </c>
      <c r="F62" s="35">
        <f>F9+F14+F16+F19+F21+F23+F25+F28+F33+F35+F42+F48+F53+F56+F61</f>
        <v>-4.132743924856186E-09</v>
      </c>
      <c r="G62" s="35">
        <f>G9+G14+G16+G19+G21+G23+G25+G28+G33+G35+G42+G48+G53+G56+G61</f>
        <v>0</v>
      </c>
      <c r="H62" s="34">
        <f t="shared" si="0"/>
        <v>43575057.888014846</v>
      </c>
    </row>
    <row r="63" spans="2:8" ht="12.75" customHeight="1">
      <c r="B63" s="73"/>
      <c r="H63" s="133"/>
    </row>
    <row r="64" spans="1:8" ht="12.75" customHeight="1">
      <c r="A64" s="121" t="s">
        <v>104</v>
      </c>
      <c r="B64" s="73"/>
      <c r="H64" s="133"/>
    </row>
    <row r="65" spans="2:8" ht="12.75" customHeight="1">
      <c r="B65" s="73"/>
      <c r="H65" s="133"/>
    </row>
    <row r="67" spans="1:2" ht="12.75">
      <c r="A67" s="126" t="s">
        <v>120</v>
      </c>
      <c r="B67" s="73"/>
    </row>
    <row r="68" spans="1:10" ht="12" customHeight="1">
      <c r="A68" s="127" t="s">
        <v>115</v>
      </c>
      <c r="B68" s="73"/>
      <c r="C68" s="129">
        <f>SUM(C4:C8,C10:C13,C15,C24)</f>
        <v>15491669.5480076</v>
      </c>
      <c r="D68" s="129">
        <f>SUM(D4:D8,D10:D13,D15,D24)</f>
        <v>117194.92399998987</v>
      </c>
      <c r="E68" s="129">
        <f>SUM(E4:E8,E10:E13,E15,E24)</f>
        <v>532925.0200019465</v>
      </c>
      <c r="F68" s="129">
        <f>SUM(F4:F8,F10:F13,F15,F24)</f>
        <v>-57866.991864728974</v>
      </c>
      <c r="G68" s="129">
        <f>SUM(G4:G8,G10:G13,G15,G24)</f>
        <v>-242581.14997014185</v>
      </c>
      <c r="H68" s="129">
        <f>C68-D68-E68-F68-G68</f>
        <v>15141997.745840536</v>
      </c>
      <c r="I68" s="129"/>
      <c r="J68" s="129"/>
    </row>
    <row r="69" spans="1:10" ht="12" customHeight="1">
      <c r="A69" s="127" t="s">
        <v>116</v>
      </c>
      <c r="B69" s="73"/>
      <c r="C69" s="129">
        <f>SUM(C17:C18,C20,C22)</f>
        <v>5524210.834002281</v>
      </c>
      <c r="D69" s="129">
        <f>SUM(D17:D18,D20,D22)</f>
        <v>34720.00400002184</v>
      </c>
      <c r="E69" s="129">
        <f>SUM(E17:E18,E20,E22)</f>
        <v>140409.15099992184</v>
      </c>
      <c r="F69" s="129">
        <f>SUM(F17:F18,F20,F22)</f>
        <v>-73745.50733089814</v>
      </c>
      <c r="G69" s="129">
        <f>SUM(G17:G18,G20,G22)</f>
        <v>0</v>
      </c>
      <c r="H69" s="129">
        <f>C69-D69-E69-F69-G69</f>
        <v>5422827.186333235</v>
      </c>
      <c r="I69" s="129"/>
      <c r="J69" s="129"/>
    </row>
    <row r="70" spans="1:10" ht="12" customHeight="1">
      <c r="A70" s="127" t="s">
        <v>117</v>
      </c>
      <c r="C70" s="129">
        <f>SUM(C26:C27,C29:C32,C34,C37,C39:C41)</f>
        <v>10094797.40800529</v>
      </c>
      <c r="D70" s="129">
        <f>SUM(D26:D27,D29:D32,D34,D37,D39:D41)</f>
        <v>70390.56799998588</v>
      </c>
      <c r="E70" s="129">
        <f>SUM(E26:E27,E29:E32,E34,E37,E39:E41)</f>
        <v>267704.6470003965</v>
      </c>
      <c r="F70" s="129">
        <f>SUM(F26:F27,F29:F32,F34,F37,F39:F41)</f>
        <v>-29458.500283304562</v>
      </c>
      <c r="G70" s="129">
        <f>SUM(G26:G27,G29:G32,G34,G37,G39:G41)</f>
        <v>96961.07366372511</v>
      </c>
      <c r="H70" s="129">
        <f>C70-D70-E70-F70-G70</f>
        <v>9689199.619624488</v>
      </c>
      <c r="I70" s="129"/>
      <c r="J70" s="129"/>
    </row>
    <row r="71" spans="1:10" ht="12" customHeight="1">
      <c r="A71" s="127" t="s">
        <v>118</v>
      </c>
      <c r="B71" s="73"/>
      <c r="C71" s="129">
        <f>SUM(C36,C38,C43:C47,C49:C52,C54)</f>
        <v>9921763.251004213</v>
      </c>
      <c r="D71" s="129">
        <f>SUM(D36,D38,D43:D47,D49:D52,D54)</f>
        <v>94253.49000001326</v>
      </c>
      <c r="E71" s="129">
        <f>SUM(E36,E38,E43:E47,E49:E52,E54)</f>
        <v>252281.9870020703</v>
      </c>
      <c r="F71" s="129">
        <f>SUM(F36,F38,F43:F47,F49:F52,F54)</f>
        <v>128311.70985899933</v>
      </c>
      <c r="G71" s="129">
        <f>SUM(G36,G38,G43:G47,G49:G52,G54)</f>
        <v>72595.5028314121</v>
      </c>
      <c r="H71" s="129">
        <f>C71-D71-E71-F71-G71</f>
        <v>9374320.561311718</v>
      </c>
      <c r="I71" s="129"/>
      <c r="J71" s="129"/>
    </row>
    <row r="72" spans="1:10" ht="12" customHeight="1">
      <c r="A72" s="127" t="s">
        <v>119</v>
      </c>
      <c r="C72" s="129">
        <f>SUM(C55,C57:C60)</f>
        <v>4147918.045999517</v>
      </c>
      <c r="D72" s="129">
        <f>SUM(D55,D57:D60)</f>
        <v>14420.604000001564</v>
      </c>
      <c r="E72" s="129">
        <f>SUM(E55,E57:E60)</f>
        <v>81000.80399971301</v>
      </c>
      <c r="F72" s="129">
        <f>SUM(F55,F57:F60)</f>
        <v>32759.289619928197</v>
      </c>
      <c r="G72" s="129">
        <f>SUM(G55,G57:G60)</f>
        <v>73024.57347500457</v>
      </c>
      <c r="H72" s="129">
        <f>C72-D72-E72-F72-G72</f>
        <v>3946712.7749048695</v>
      </c>
      <c r="I72" s="129"/>
      <c r="J72" s="129"/>
    </row>
    <row r="73" ht="12.75">
      <c r="B73" s="73"/>
    </row>
    <row r="74" ht="12.75">
      <c r="B74" s="73"/>
    </row>
    <row r="76" ht="12.75">
      <c r="B76" s="73"/>
    </row>
    <row r="78" ht="12.75">
      <c r="B78" s="73"/>
    </row>
    <row r="80" ht="12.75">
      <c r="B80" s="73"/>
    </row>
    <row r="82" ht="12.75">
      <c r="B82" s="73"/>
    </row>
    <row r="83" ht="12.75">
      <c r="B83" s="73"/>
    </row>
    <row r="85" ht="12.75">
      <c r="B85" s="73"/>
    </row>
    <row r="86" ht="12.75">
      <c r="B86" s="73"/>
    </row>
    <row r="87" ht="12.75">
      <c r="B87" s="73"/>
    </row>
    <row r="88" ht="12.75">
      <c r="B88" s="73"/>
    </row>
    <row r="90" ht="12.75">
      <c r="B90" s="73"/>
    </row>
    <row r="92" ht="12.75">
      <c r="B92" s="73"/>
    </row>
    <row r="93" ht="12.75">
      <c r="B93" s="73"/>
    </row>
    <row r="94" ht="12.75">
      <c r="B94" s="73"/>
    </row>
    <row r="95" ht="12.75">
      <c r="B95" s="73"/>
    </row>
    <row r="96" ht="12.75">
      <c r="B96" s="73"/>
    </row>
    <row r="97" ht="12.75">
      <c r="B97" s="73"/>
    </row>
    <row r="99" ht="12.75">
      <c r="B99" s="73"/>
    </row>
    <row r="100" ht="12.75">
      <c r="B100" s="73"/>
    </row>
    <row r="101" ht="12.75">
      <c r="B101" s="73"/>
    </row>
    <row r="102" ht="12.75">
      <c r="B102" s="73"/>
    </row>
    <row r="103" ht="12.75">
      <c r="B103" s="73"/>
    </row>
    <row r="105" ht="12.75">
      <c r="B105" s="73"/>
    </row>
    <row r="106" ht="12.75">
      <c r="B106" s="73"/>
    </row>
    <row r="107" ht="12.75">
      <c r="B107" s="73"/>
    </row>
    <row r="108" ht="12.75">
      <c r="B108" s="73"/>
    </row>
    <row r="110" ht="12.75">
      <c r="B110" s="73"/>
    </row>
    <row r="111" ht="12.75">
      <c r="B111" s="73"/>
    </row>
    <row r="113" ht="12.75">
      <c r="B113" s="73"/>
    </row>
    <row r="114" ht="12.75">
      <c r="B114" s="73"/>
    </row>
    <row r="115" ht="12.75">
      <c r="B115" s="73"/>
    </row>
    <row r="116" ht="12.75">
      <c r="B116" s="73"/>
    </row>
    <row r="118" ht="12.75">
      <c r="B118" s="73"/>
    </row>
    <row r="119" ht="12.75">
      <c r="B119" s="73"/>
    </row>
    <row r="120" ht="12.75">
      <c r="B120" s="73"/>
    </row>
    <row r="121" ht="12.75">
      <c r="B121" s="73"/>
    </row>
    <row r="122" ht="12.75">
      <c r="B122" s="73"/>
    </row>
    <row r="124" ht="12.75">
      <c r="B124" s="73"/>
    </row>
    <row r="126" ht="12.75">
      <c r="B126" s="73"/>
    </row>
    <row r="127" ht="12.75">
      <c r="B127" s="73"/>
    </row>
    <row r="128" ht="12.75">
      <c r="B128" s="73"/>
    </row>
    <row r="129" ht="12.75">
      <c r="B129" s="73"/>
    </row>
    <row r="131" ht="12.75">
      <c r="B131" s="73"/>
    </row>
    <row r="132" ht="12.75">
      <c r="B132" s="73"/>
    </row>
    <row r="133" ht="12.75">
      <c r="B133" s="73"/>
    </row>
    <row r="134" ht="12.75">
      <c r="B134" s="73"/>
    </row>
    <row r="135" ht="12.75">
      <c r="B135" s="73"/>
    </row>
    <row r="136" ht="12.75">
      <c r="B136" s="73"/>
    </row>
    <row r="137" ht="12.75">
      <c r="B137" s="73"/>
    </row>
    <row r="138" ht="12.75">
      <c r="B138" s="73"/>
    </row>
    <row r="139" ht="12.75">
      <c r="B139" s="73"/>
    </row>
    <row r="140" ht="12.75">
      <c r="B140" s="73"/>
    </row>
    <row r="141" ht="12.75">
      <c r="B141" s="73"/>
    </row>
    <row r="142" ht="12.75">
      <c r="B142" s="73"/>
    </row>
    <row r="144" ht="12.75">
      <c r="B144" s="73"/>
    </row>
    <row r="145" ht="12.75">
      <c r="B145" s="73"/>
    </row>
    <row r="147" ht="12.75">
      <c r="B147" s="73"/>
    </row>
    <row r="148" ht="12.75">
      <c r="B148" s="73"/>
    </row>
    <row r="149" ht="12.75">
      <c r="B149" s="73"/>
    </row>
    <row r="150" ht="12.75">
      <c r="B150" s="73"/>
    </row>
    <row r="151" ht="12.75">
      <c r="B151" s="73"/>
    </row>
    <row r="153" ht="12.75">
      <c r="B153" s="73"/>
    </row>
    <row r="154" ht="12.75">
      <c r="B154" s="73"/>
    </row>
    <row r="155" ht="12.75">
      <c r="B155" s="73"/>
    </row>
    <row r="156" ht="12.75">
      <c r="B156" s="73"/>
    </row>
    <row r="158" ht="12.75">
      <c r="B158" s="73"/>
    </row>
    <row r="160" ht="12.75">
      <c r="B160" s="73"/>
    </row>
    <row r="161" ht="12.75">
      <c r="B161" s="73"/>
    </row>
    <row r="162" ht="12.75">
      <c r="B162" s="73"/>
    </row>
    <row r="163" ht="12.75">
      <c r="B163" s="73"/>
    </row>
    <row r="164" ht="12.75">
      <c r="B164" s="73"/>
    </row>
    <row r="165" ht="12.75">
      <c r="B165" s="73"/>
    </row>
    <row r="166" ht="12.75">
      <c r="B166" s="73"/>
    </row>
    <row r="167" ht="12.75">
      <c r="B167" s="73"/>
    </row>
    <row r="168" ht="12.75">
      <c r="B168" s="73"/>
    </row>
    <row r="169" ht="12.75">
      <c r="B169" s="73"/>
    </row>
    <row r="170" ht="12.75">
      <c r="B170" s="73"/>
    </row>
    <row r="172" ht="12.75">
      <c r="B172" s="73"/>
    </row>
    <row r="173" ht="12.75">
      <c r="B173" s="73"/>
    </row>
    <row r="175" ht="12.75">
      <c r="B175" s="73"/>
    </row>
    <row r="176" ht="12.75">
      <c r="B176" s="73"/>
    </row>
    <row r="177" ht="12.75">
      <c r="B177" s="73"/>
    </row>
    <row r="178" ht="12.75">
      <c r="B178" s="73"/>
    </row>
    <row r="180" ht="12.75">
      <c r="B180" s="73"/>
    </row>
    <row r="182" ht="12.75">
      <c r="B182" s="73"/>
    </row>
    <row r="183" ht="12.75">
      <c r="B183" s="73"/>
    </row>
    <row r="184" ht="12.75">
      <c r="B184" s="73"/>
    </row>
    <row r="185" ht="12.75">
      <c r="B185" s="73"/>
    </row>
    <row r="187" ht="12.75">
      <c r="B187" s="73"/>
    </row>
    <row r="188" ht="12.75">
      <c r="B188" s="73"/>
    </row>
    <row r="189" ht="12.75">
      <c r="B189" s="73"/>
    </row>
    <row r="190" ht="12.75">
      <c r="B190" s="73"/>
    </row>
    <row r="191" ht="12.75">
      <c r="B191" s="73"/>
    </row>
    <row r="192" ht="12.75">
      <c r="B192" s="73"/>
    </row>
    <row r="193" ht="12.75">
      <c r="B193" s="73"/>
    </row>
    <row r="194" ht="12.75">
      <c r="B194" s="73"/>
    </row>
    <row r="195" ht="12.75">
      <c r="B195" s="73"/>
    </row>
    <row r="196" ht="12.75">
      <c r="B196" s="73"/>
    </row>
    <row r="198" ht="12.75">
      <c r="B198" s="73"/>
    </row>
    <row r="199" ht="12.75">
      <c r="B199" s="73"/>
    </row>
    <row r="200" ht="12.75">
      <c r="B200" s="73"/>
    </row>
    <row r="201" ht="12.75">
      <c r="B201" s="73"/>
    </row>
    <row r="202" ht="12.75">
      <c r="B202" s="73"/>
    </row>
    <row r="204" ht="12.75">
      <c r="B204" s="73"/>
    </row>
    <row r="205" ht="12.75">
      <c r="B205" s="73"/>
    </row>
    <row r="206" ht="12.75">
      <c r="B206" s="73"/>
    </row>
    <row r="208" ht="12.75">
      <c r="B208" s="73"/>
    </row>
    <row r="210" ht="12.75">
      <c r="B210" s="73"/>
    </row>
    <row r="212" ht="12.75">
      <c r="B212" s="73"/>
    </row>
    <row r="213" ht="12.75">
      <c r="B213" s="73"/>
    </row>
    <row r="214" ht="12.75">
      <c r="B214" s="73"/>
    </row>
    <row r="215" ht="12.75">
      <c r="B215" s="73"/>
    </row>
    <row r="217" ht="12.75">
      <c r="B217" s="73"/>
    </row>
    <row r="218" ht="12.75">
      <c r="B218" s="73"/>
    </row>
    <row r="220" ht="12.75">
      <c r="B220" s="73"/>
    </row>
    <row r="222" ht="12.75">
      <c r="B222" s="73"/>
    </row>
  </sheetData>
  <sheetProtection/>
  <printOptions/>
  <pageMargins left="0.7874015748031497" right="0.7874015748031497" top="0.7874015748031497" bottom="0.7874015748031497" header="0" footer="0"/>
  <pageSetup horizontalDpi="600" verticalDpi="600" orientation="landscape" paperSize="9" r:id="rId1"/>
  <headerFooter alignWithMargins="0">
    <oddFooter>&amp;C&amp;P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Indenrigs- og Sundhedsministeriet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raaj</dc:creator>
  <cp:keywords/>
  <dc:description/>
  <cp:lastModifiedBy>Kathrine Marie Støvring Nielsen</cp:lastModifiedBy>
  <cp:lastPrinted>2007-11-13T15:52:20Z</cp:lastPrinted>
  <dcterms:created xsi:type="dcterms:W3CDTF">2007-05-24T08:54:34Z</dcterms:created>
  <dcterms:modified xsi:type="dcterms:W3CDTF">2010-10-05T07:42:42Z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le">
    <vt:lpwstr>Bilag (LØBENDE OFFENTLIGGØRELSE AFPRODUKTIVITET I SYGEHUSSEKTOREN - 3.delrapport)</vt:lpwstr>
  </property>
  <property fmtid="{D5CDD505-2E9C-101B-9397-08002B2CF9AE}" pid="3" name="path">
    <vt:lpwstr>C:\DOCUME~1\sumksn\LOKALE~1\Temp\SJ20101004132749152.XLS</vt:lpwstr>
  </property>
</Properties>
</file>